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codeName="ThisWorkbook"/>
  <xr:revisionPtr revIDLastSave="0" documentId="13_ncr:1_{C455D289-20B7-49B3-8D81-6C5F8F42A003}" xr6:coauthVersionLast="47" xr6:coauthVersionMax="47" xr10:uidLastSave="{00000000-0000-0000-0000-000000000000}"/>
  <bookViews>
    <workbookView xWindow="-120" yWindow="-120" windowWidth="29040" windowHeight="15840" tabRatio="684" xr2:uid="{00000000-000D-0000-FFFF-FFFF00000000}"/>
  </bookViews>
  <sheets>
    <sheet name="Calculator" sheetId="15" r:id="rId1"/>
    <sheet name="Loads" sheetId="18" state="hidden" r:id="rId2"/>
    <sheet name="Version" sheetId="22" r:id="rId3"/>
    <sheet name="-calcs-" sheetId="19" state="hidden" r:id="rId4"/>
  </sheets>
  <definedNames>
    <definedName name="Array.Type">#REF!</definedName>
    <definedName name="Battery_Banks">'-calcs-'!$B$736:$B$752</definedName>
    <definedName name="Battery_Modules">'-calcs-'!$B$684:$B$694</definedName>
    <definedName name="Inverter_Chargers">'-calcs-'!$A$670:$A$679</definedName>
    <definedName name="Locations">'-calcs-'!$O$208:$O$217</definedName>
    <definedName name="_xlnm.Print_Area" localSheetId="0">Calculator!$A$1:$Z$56</definedName>
    <definedName name="Solar_Arrays">'-calcs-'!$B$721:$B$733</definedName>
    <definedName name="Solar_Controllers" comment="Solar Controllers">'-calcs-'!$B$645:$B$666</definedName>
    <definedName name="Solar_Panels">'-calcs-'!$B$703:$B$712</definedName>
    <definedName name="TestList1">#REF!</definedName>
    <definedName name="UserProfiles">'-calcs-'!$B$760:$B$765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48" i="19" l="1"/>
  <c r="J749" i="19"/>
  <c r="J750" i="19"/>
  <c r="J751" i="19"/>
  <c r="J752" i="19"/>
  <c r="J736" i="19"/>
  <c r="J737" i="19"/>
  <c r="J738" i="19"/>
  <c r="J739" i="19"/>
  <c r="J740" i="19"/>
  <c r="J741" i="19"/>
  <c r="J742" i="19"/>
  <c r="J743" i="19"/>
  <c r="J744" i="19"/>
  <c r="J745" i="19"/>
  <c r="J746" i="19"/>
  <c r="L752" i="19"/>
  <c r="K752" i="19"/>
  <c r="G752" i="19"/>
  <c r="H752" i="19" s="1"/>
  <c r="I752" i="19" s="1"/>
  <c r="D752" i="19"/>
  <c r="L751" i="19"/>
  <c r="K751" i="19"/>
  <c r="G751" i="19"/>
  <c r="H751" i="19" s="1"/>
  <c r="I751" i="19" s="1"/>
  <c r="D751" i="19"/>
  <c r="E8" i="15"/>
  <c r="F8" i="15"/>
  <c r="C63" i="18" a="1"/>
  <c r="C63" i="18" s="1"/>
  <c r="E11" i="15" l="1" a="1"/>
  <c r="E11" i="15" s="1"/>
  <c r="C85" i="19" s="1"/>
  <c r="C86" i="19" s="1"/>
  <c r="AC25" i="19" l="1"/>
  <c r="AC24" i="19"/>
  <c r="AC23" i="19"/>
  <c r="AC22" i="19"/>
  <c r="AC21" i="19"/>
  <c r="AC20" i="19"/>
  <c r="AC19" i="19"/>
  <c r="AC18" i="19"/>
  <c r="AC17" i="19"/>
  <c r="AC16" i="19"/>
  <c r="AC15" i="19"/>
  <c r="AB18" i="19"/>
  <c r="AB19" i="19"/>
  <c r="AB20" i="19"/>
  <c r="AB21" i="19"/>
  <c r="AB22" i="19"/>
  <c r="AB23" i="19"/>
  <c r="AB24" i="19"/>
  <c r="AB25" i="19"/>
  <c r="AB26" i="19"/>
  <c r="AB27" i="19"/>
  <c r="AB28" i="19"/>
  <c r="Y34" i="15"/>
  <c r="X34" i="15"/>
  <c r="AB23" i="15" a="1"/>
  <c r="AB23" i="15" s="1"/>
  <c r="E5" i="15" s="1"/>
  <c r="D139" i="19"/>
  <c r="E25" i="15"/>
  <c r="C67" i="18" a="1"/>
  <c r="C67" i="18" s="1"/>
  <c r="C143" i="19" l="1"/>
  <c r="C142" i="19"/>
  <c r="C41" i="19"/>
  <c r="C40" i="19"/>
  <c r="G73" i="18"/>
  <c r="H76" i="18" s="1"/>
  <c r="O88" i="18"/>
  <c r="O87" i="18"/>
  <c r="O116" i="18"/>
  <c r="O115" i="18"/>
  <c r="O112" i="18"/>
  <c r="O111" i="18"/>
  <c r="O108" i="18"/>
  <c r="O107" i="18"/>
  <c r="O104" i="18"/>
  <c r="O103" i="18"/>
  <c r="O100" i="18"/>
  <c r="O99" i="18"/>
  <c r="O96" i="18"/>
  <c r="O95" i="18"/>
  <c r="O92" i="18"/>
  <c r="O91" i="18"/>
  <c r="O80" i="18"/>
  <c r="O79" i="18"/>
  <c r="O83" i="18"/>
  <c r="O84" i="18"/>
  <c r="D723" i="19"/>
  <c r="H723" i="19" s="1"/>
  <c r="G723" i="19"/>
  <c r="J723" i="19"/>
  <c r="K723" i="19"/>
  <c r="L723" i="19"/>
  <c r="X723" i="19" s="1"/>
  <c r="M723" i="19"/>
  <c r="N723" i="19"/>
  <c r="O723" i="19"/>
  <c r="P723" i="19"/>
  <c r="Q723" i="19"/>
  <c r="R723" i="19"/>
  <c r="T723" i="19"/>
  <c r="U723" i="19"/>
  <c r="V723" i="19"/>
  <c r="W723" i="19"/>
  <c r="D728" i="19"/>
  <c r="H728" i="19" s="1"/>
  <c r="G728" i="19"/>
  <c r="J728" i="19"/>
  <c r="K728" i="19"/>
  <c r="L728" i="19"/>
  <c r="X728" i="19" s="1"/>
  <c r="M728" i="19"/>
  <c r="N728" i="19"/>
  <c r="O728" i="19"/>
  <c r="P728" i="19"/>
  <c r="Q728" i="19"/>
  <c r="R728" i="19"/>
  <c r="T728" i="19"/>
  <c r="U728" i="19"/>
  <c r="V728" i="19"/>
  <c r="W728" i="19"/>
  <c r="D727" i="19"/>
  <c r="H727" i="19" s="1"/>
  <c r="G727" i="19"/>
  <c r="J727" i="19"/>
  <c r="K727" i="19"/>
  <c r="L727" i="19"/>
  <c r="X727" i="19" s="1"/>
  <c r="M727" i="19"/>
  <c r="N727" i="19"/>
  <c r="O727" i="19"/>
  <c r="P727" i="19"/>
  <c r="Q727" i="19"/>
  <c r="R727" i="19"/>
  <c r="T727" i="19"/>
  <c r="U727" i="19"/>
  <c r="V727" i="19"/>
  <c r="W727" i="19"/>
  <c r="D730" i="19"/>
  <c r="H730" i="19" s="1"/>
  <c r="B730" i="19" s="1"/>
  <c r="G730" i="19"/>
  <c r="J730" i="19"/>
  <c r="K730" i="19"/>
  <c r="L730" i="19"/>
  <c r="X730" i="19" s="1"/>
  <c r="M730" i="19"/>
  <c r="N730" i="19"/>
  <c r="O730" i="19"/>
  <c r="P730" i="19"/>
  <c r="Q730" i="19"/>
  <c r="R730" i="19"/>
  <c r="T730" i="19"/>
  <c r="U730" i="19"/>
  <c r="V730" i="19"/>
  <c r="W730" i="19"/>
  <c r="D729" i="19"/>
  <c r="H729" i="19" s="1"/>
  <c r="I729" i="19" s="1"/>
  <c r="G729" i="19"/>
  <c r="J729" i="19"/>
  <c r="K729" i="19"/>
  <c r="L729" i="19"/>
  <c r="X729" i="19" s="1"/>
  <c r="M729" i="19"/>
  <c r="N729" i="19"/>
  <c r="O729" i="19"/>
  <c r="P729" i="19"/>
  <c r="Q729" i="19"/>
  <c r="R729" i="19"/>
  <c r="T729" i="19"/>
  <c r="U729" i="19"/>
  <c r="V729" i="19"/>
  <c r="W729" i="19"/>
  <c r="D725" i="19"/>
  <c r="H725" i="19" s="1"/>
  <c r="B725" i="19" s="1"/>
  <c r="G725" i="19"/>
  <c r="J725" i="19"/>
  <c r="K725" i="19"/>
  <c r="L725" i="19"/>
  <c r="X725" i="19" s="1"/>
  <c r="M725" i="19"/>
  <c r="N725" i="19"/>
  <c r="O725" i="19"/>
  <c r="P725" i="19"/>
  <c r="Q725" i="19"/>
  <c r="R725" i="19"/>
  <c r="T725" i="19"/>
  <c r="U725" i="19"/>
  <c r="V725" i="19"/>
  <c r="W725" i="19"/>
  <c r="D732" i="19"/>
  <c r="H732" i="19" s="1"/>
  <c r="G732" i="19"/>
  <c r="J732" i="19"/>
  <c r="K732" i="19"/>
  <c r="L732" i="19"/>
  <c r="X732" i="19" s="1"/>
  <c r="M732" i="19"/>
  <c r="N732" i="19"/>
  <c r="O732" i="19"/>
  <c r="P732" i="19"/>
  <c r="Q732" i="19"/>
  <c r="R732" i="19"/>
  <c r="T732" i="19"/>
  <c r="U732" i="19"/>
  <c r="V732" i="19"/>
  <c r="W732" i="19"/>
  <c r="D722" i="19"/>
  <c r="H722" i="19" s="1"/>
  <c r="I722" i="19" s="1"/>
  <c r="G722" i="19"/>
  <c r="J722" i="19"/>
  <c r="K722" i="19"/>
  <c r="L722" i="19"/>
  <c r="X722" i="19" s="1"/>
  <c r="M722" i="19"/>
  <c r="N722" i="19"/>
  <c r="O722" i="19"/>
  <c r="P722" i="19"/>
  <c r="Q722" i="19"/>
  <c r="R722" i="19"/>
  <c r="T722" i="19"/>
  <c r="U722" i="19"/>
  <c r="V722" i="19"/>
  <c r="W722" i="19"/>
  <c r="D726" i="19"/>
  <c r="H726" i="19" s="1"/>
  <c r="B726" i="19" s="1"/>
  <c r="G726" i="19"/>
  <c r="J726" i="19"/>
  <c r="K726" i="19"/>
  <c r="L726" i="19"/>
  <c r="X726" i="19" s="1"/>
  <c r="M726" i="19"/>
  <c r="N726" i="19"/>
  <c r="O726" i="19"/>
  <c r="P726" i="19"/>
  <c r="Q726" i="19"/>
  <c r="R726" i="19"/>
  <c r="T726" i="19"/>
  <c r="U726" i="19"/>
  <c r="V726" i="19"/>
  <c r="W726" i="19"/>
  <c r="D724" i="19"/>
  <c r="H724" i="19" s="1"/>
  <c r="G724" i="19"/>
  <c r="J724" i="19"/>
  <c r="K724" i="19"/>
  <c r="L724" i="19"/>
  <c r="X724" i="19" s="1"/>
  <c r="M724" i="19"/>
  <c r="N724" i="19"/>
  <c r="O724" i="19"/>
  <c r="P724" i="19"/>
  <c r="Q724" i="19"/>
  <c r="R724" i="19"/>
  <c r="T724" i="19"/>
  <c r="U724" i="19"/>
  <c r="V724" i="19"/>
  <c r="W724" i="19"/>
  <c r="G731" i="19"/>
  <c r="H731" i="19"/>
  <c r="B731" i="19" s="1"/>
  <c r="J731" i="19"/>
  <c r="K731" i="19"/>
  <c r="L731" i="19"/>
  <c r="X731" i="19" s="1"/>
  <c r="M731" i="19"/>
  <c r="N731" i="19"/>
  <c r="O731" i="19"/>
  <c r="P731" i="19"/>
  <c r="Q731" i="19"/>
  <c r="R731" i="19"/>
  <c r="T731" i="19"/>
  <c r="U731" i="19"/>
  <c r="V731" i="19"/>
  <c r="W731" i="19"/>
  <c r="G733" i="19"/>
  <c r="H733" i="19"/>
  <c r="B733" i="19" s="1"/>
  <c r="J733" i="19"/>
  <c r="K733" i="19"/>
  <c r="L733" i="19"/>
  <c r="X733" i="19" s="1"/>
  <c r="M733" i="19"/>
  <c r="N733" i="19"/>
  <c r="O733" i="19"/>
  <c r="P733" i="19"/>
  <c r="Q733" i="19"/>
  <c r="R733" i="19"/>
  <c r="T733" i="19"/>
  <c r="U733" i="19"/>
  <c r="V733" i="19"/>
  <c r="W733" i="19"/>
  <c r="D738" i="19"/>
  <c r="G738" i="19"/>
  <c r="H738" i="19" s="1"/>
  <c r="K738" i="19"/>
  <c r="L738" i="19"/>
  <c r="D740" i="19"/>
  <c r="G740" i="19"/>
  <c r="H740" i="19" s="1"/>
  <c r="K740" i="19"/>
  <c r="L740" i="19"/>
  <c r="G737" i="19"/>
  <c r="H737" i="19" s="1"/>
  <c r="I737" i="19" s="1"/>
  <c r="B737" i="19" s="1"/>
  <c r="K737" i="19"/>
  <c r="L737" i="19"/>
  <c r="D742" i="19"/>
  <c r="G742" i="19"/>
  <c r="H742" i="19" s="1"/>
  <c r="K742" i="19"/>
  <c r="L742" i="19"/>
  <c r="D749" i="19"/>
  <c r="G749" i="19"/>
  <c r="H749" i="19" s="1"/>
  <c r="K749" i="19"/>
  <c r="L749" i="19"/>
  <c r="D744" i="19"/>
  <c r="G744" i="19"/>
  <c r="H744" i="19" s="1"/>
  <c r="K744" i="19"/>
  <c r="L744" i="19"/>
  <c r="D736" i="19"/>
  <c r="G736" i="19"/>
  <c r="H736" i="19" s="1"/>
  <c r="K736" i="19"/>
  <c r="L736" i="19"/>
  <c r="D750" i="19"/>
  <c r="G750" i="19"/>
  <c r="H750" i="19" s="1"/>
  <c r="K750" i="19"/>
  <c r="L750" i="19"/>
  <c r="B751" i="19"/>
  <c r="B752" i="19"/>
  <c r="D743" i="19"/>
  <c r="G743" i="19"/>
  <c r="H743" i="19" s="1"/>
  <c r="K743" i="19"/>
  <c r="L743" i="19"/>
  <c r="D745" i="19"/>
  <c r="G745" i="19"/>
  <c r="H745" i="19" s="1"/>
  <c r="K745" i="19"/>
  <c r="L745" i="19"/>
  <c r="D746" i="19"/>
  <c r="G746" i="19"/>
  <c r="H746" i="19" s="1"/>
  <c r="K746" i="19"/>
  <c r="L746" i="19"/>
  <c r="D739" i="19"/>
  <c r="G739" i="19"/>
  <c r="H739" i="19" s="1"/>
  <c r="K739" i="19"/>
  <c r="L739" i="19"/>
  <c r="D741" i="19"/>
  <c r="G741" i="19"/>
  <c r="H741" i="19" s="1"/>
  <c r="K741" i="19"/>
  <c r="L741" i="19"/>
  <c r="D748" i="19"/>
  <c r="G748" i="19"/>
  <c r="H748" i="19" s="1"/>
  <c r="K748" i="19"/>
  <c r="L748" i="19"/>
  <c r="D747" i="19"/>
  <c r="H747" i="19"/>
  <c r="J747" i="19"/>
  <c r="K747" i="19"/>
  <c r="L747" i="19"/>
  <c r="O665" i="19"/>
  <c r="A670" i="19"/>
  <c r="A671" i="19"/>
  <c r="A672" i="19"/>
  <c r="Q672" i="19"/>
  <c r="A673" i="19"/>
  <c r="A674" i="19"/>
  <c r="A675" i="19"/>
  <c r="F676" i="19"/>
  <c r="A676" i="19" s="1"/>
  <c r="Q676" i="19"/>
  <c r="S676" i="19"/>
  <c r="A677" i="19"/>
  <c r="Q677" i="19"/>
  <c r="S677" i="19"/>
  <c r="A678" i="19"/>
  <c r="A679" i="19"/>
  <c r="A680" i="19"/>
  <c r="S684" i="19"/>
  <c r="S685" i="19"/>
  <c r="S686" i="19"/>
  <c r="S687" i="19"/>
  <c r="S688" i="19"/>
  <c r="S691" i="19"/>
  <c r="S692" i="19"/>
  <c r="R695" i="19"/>
  <c r="B703" i="19"/>
  <c r="B704" i="19"/>
  <c r="B709" i="19"/>
  <c r="B710" i="19"/>
  <c r="B711" i="19"/>
  <c r="B712" i="19"/>
  <c r="I741" i="19" l="1"/>
  <c r="B741" i="19" s="1"/>
  <c r="I745" i="19"/>
  <c r="B745" i="19" s="1"/>
  <c r="I750" i="19"/>
  <c r="B750" i="19" s="1"/>
  <c r="I748" i="19"/>
  <c r="B748" i="19" s="1"/>
  <c r="I746" i="19"/>
  <c r="B746" i="19" s="1"/>
  <c r="E14" i="15" a="1"/>
  <c r="E14" i="15" s="1"/>
  <c r="B62" i="18" s="1"/>
  <c r="I733" i="19"/>
  <c r="I744" i="19"/>
  <c r="B744" i="19" s="1"/>
  <c r="B723" i="19"/>
  <c r="I723" i="19"/>
  <c r="I742" i="19"/>
  <c r="B742" i="19" s="1"/>
  <c r="B728" i="19"/>
  <c r="I728" i="19"/>
  <c r="I747" i="19"/>
  <c r="B747" i="19" s="1"/>
  <c r="I738" i="19"/>
  <c r="B738" i="19" s="1"/>
  <c r="I726" i="19"/>
  <c r="I725" i="19"/>
  <c r="I736" i="19"/>
  <c r="B736" i="19" s="1"/>
  <c r="I749" i="19"/>
  <c r="B749" i="19" s="1"/>
  <c r="I740" i="19"/>
  <c r="B740" i="19" s="1"/>
  <c r="I731" i="19"/>
  <c r="B729" i="19"/>
  <c r="I730" i="19"/>
  <c r="M75" i="18"/>
  <c r="D75" i="18"/>
  <c r="D76" i="18"/>
  <c r="C75" i="18"/>
  <c r="L76" i="18"/>
  <c r="C76" i="18"/>
  <c r="B75" i="18"/>
  <c r="I75" i="18"/>
  <c r="I76" i="18"/>
  <c r="J75" i="18"/>
  <c r="O75" i="18" s="1"/>
  <c r="F75" i="18"/>
  <c r="J76" i="18"/>
  <c r="F76" i="18"/>
  <c r="K75" i="18"/>
  <c r="E75" i="18"/>
  <c r="K76" i="18"/>
  <c r="E76" i="18"/>
  <c r="L75" i="18"/>
  <c r="B76" i="18"/>
  <c r="M76" i="18"/>
  <c r="G75" i="18"/>
  <c r="H75" i="18"/>
  <c r="G76" i="18"/>
  <c r="I727" i="19"/>
  <c r="B727" i="19"/>
  <c r="I743" i="19"/>
  <c r="B743" i="19" s="1"/>
  <c r="E16" i="15" s="1" a="1"/>
  <c r="E16" i="15" s="1"/>
  <c r="B721" i="19"/>
  <c r="AB21" i="15" s="1"/>
  <c r="F7" i="15" s="1"/>
  <c r="X15" i="18" s="1"/>
  <c r="I724" i="19"/>
  <c r="B724" i="19"/>
  <c r="B732" i="19"/>
  <c r="I732" i="19"/>
  <c r="I739" i="19"/>
  <c r="B739" i="19" s="1"/>
  <c r="B722" i="19"/>
  <c r="C64" i="18" l="1"/>
  <c r="AB20" i="15"/>
  <c r="E7" i="15" s="1"/>
  <c r="J7" i="15" s="1"/>
  <c r="C26" i="19"/>
  <c r="E26" i="19" s="1"/>
  <c r="C128" i="19"/>
  <c r="O76" i="18"/>
  <c r="D224" i="19"/>
  <c r="E224" i="19"/>
  <c r="F224" i="19"/>
  <c r="G224" i="19"/>
  <c r="H224" i="19"/>
  <c r="I224" i="19"/>
  <c r="J224" i="19"/>
  <c r="K224" i="19"/>
  <c r="L224" i="19"/>
  <c r="M224" i="19"/>
  <c r="M226" i="19"/>
  <c r="O232" i="19"/>
  <c r="V232" i="19"/>
  <c r="AC232" i="19"/>
  <c r="AJ232" i="19"/>
  <c r="AQ232" i="19"/>
  <c r="AX232" i="19"/>
  <c r="BE232" i="19"/>
  <c r="BL232" i="19"/>
  <c r="BS232" i="19"/>
  <c r="BZ232" i="19"/>
  <c r="CG232" i="19"/>
  <c r="CN232" i="19"/>
  <c r="O273" i="19"/>
  <c r="V273" i="19"/>
  <c r="AC273" i="19"/>
  <c r="AJ273" i="19"/>
  <c r="AQ273" i="19"/>
  <c r="AX273" i="19"/>
  <c r="BE273" i="19"/>
  <c r="BL273" i="19"/>
  <c r="BS273" i="19"/>
  <c r="BZ273" i="19"/>
  <c r="CG273" i="19"/>
  <c r="CN273" i="19"/>
  <c r="O314" i="19"/>
  <c r="V314" i="19"/>
  <c r="AC314" i="19"/>
  <c r="AJ314" i="19"/>
  <c r="AQ314" i="19"/>
  <c r="AX314" i="19"/>
  <c r="BE314" i="19"/>
  <c r="BL314" i="19"/>
  <c r="BS314" i="19"/>
  <c r="BZ314" i="19"/>
  <c r="CG314" i="19"/>
  <c r="CN314" i="19"/>
  <c r="O355" i="19"/>
  <c r="V355" i="19"/>
  <c r="AC355" i="19"/>
  <c r="AJ355" i="19"/>
  <c r="AQ355" i="19"/>
  <c r="AX355" i="19"/>
  <c r="BE355" i="19"/>
  <c r="BL355" i="19"/>
  <c r="BS355" i="19"/>
  <c r="BZ355" i="19"/>
  <c r="CG355" i="19"/>
  <c r="CN355" i="19"/>
  <c r="O396" i="19"/>
  <c r="V396" i="19"/>
  <c r="AC396" i="19"/>
  <c r="AJ396" i="19"/>
  <c r="AQ396" i="19"/>
  <c r="AX396" i="19"/>
  <c r="BE396" i="19"/>
  <c r="BL396" i="19"/>
  <c r="BS396" i="19"/>
  <c r="BZ396" i="19"/>
  <c r="CG396" i="19"/>
  <c r="CN396" i="19"/>
  <c r="O437" i="19"/>
  <c r="V437" i="19"/>
  <c r="AC437" i="19"/>
  <c r="AJ437" i="19"/>
  <c r="AQ437" i="19"/>
  <c r="AX437" i="19"/>
  <c r="BE437" i="19"/>
  <c r="BL437" i="19"/>
  <c r="BS437" i="19"/>
  <c r="BZ437" i="19"/>
  <c r="CG437" i="19"/>
  <c r="CN437" i="19"/>
  <c r="O478" i="19"/>
  <c r="V478" i="19"/>
  <c r="AC478" i="19"/>
  <c r="AJ478" i="19"/>
  <c r="AQ478" i="19"/>
  <c r="AX478" i="19"/>
  <c r="BE478" i="19"/>
  <c r="BL478" i="19"/>
  <c r="BS478" i="19"/>
  <c r="BZ478" i="19"/>
  <c r="CG478" i="19"/>
  <c r="CN478" i="19"/>
  <c r="O519" i="19"/>
  <c r="V519" i="19"/>
  <c r="AC519" i="19"/>
  <c r="AJ519" i="19"/>
  <c r="AQ519" i="19"/>
  <c r="AX519" i="19"/>
  <c r="BE519" i="19"/>
  <c r="BL519" i="19"/>
  <c r="BS519" i="19"/>
  <c r="BZ519" i="19"/>
  <c r="CG519" i="19"/>
  <c r="CN519" i="19"/>
  <c r="O560" i="19"/>
  <c r="V560" i="19"/>
  <c r="AC560" i="19"/>
  <c r="AJ560" i="19"/>
  <c r="AQ560" i="19"/>
  <c r="AX560" i="19"/>
  <c r="BE560" i="19"/>
  <c r="BL560" i="19"/>
  <c r="BS560" i="19"/>
  <c r="BZ560" i="19"/>
  <c r="CG560" i="19"/>
  <c r="CN560" i="19"/>
  <c r="O600" i="19"/>
  <c r="V600" i="19"/>
  <c r="AC600" i="19"/>
  <c r="AJ600" i="19"/>
  <c r="AQ600" i="19"/>
  <c r="AX600" i="19"/>
  <c r="BE600" i="19"/>
  <c r="BL600" i="19"/>
  <c r="BS600" i="19"/>
  <c r="BZ600" i="19"/>
  <c r="CG600" i="19"/>
  <c r="CN600" i="19"/>
  <c r="F103" i="19"/>
  <c r="C107" i="19"/>
  <c r="J109" i="19"/>
  <c r="O109" i="19"/>
  <c r="L111" i="19"/>
  <c r="L112" i="19"/>
  <c r="Y112" i="19"/>
  <c r="Z115" i="19"/>
  <c r="J116" i="19"/>
  <c r="J117" i="19"/>
  <c r="C27" i="19" l="1"/>
  <c r="C129" i="19"/>
  <c r="AF125" i="19"/>
  <c r="AG125" i="19"/>
  <c r="AH125" i="19"/>
  <c r="AI125" i="19"/>
  <c r="AJ125" i="19"/>
  <c r="AK125" i="19"/>
  <c r="AL125" i="19"/>
  <c r="AM125" i="19"/>
  <c r="AN125" i="19"/>
  <c r="AO125" i="19"/>
  <c r="AP125" i="19"/>
  <c r="AQ125" i="19"/>
  <c r="N132" i="19"/>
  <c r="O132" i="19"/>
  <c r="P132" i="19"/>
  <c r="Q132" i="19"/>
  <c r="R132" i="19"/>
  <c r="S132" i="19"/>
  <c r="T132" i="19"/>
  <c r="U132" i="19"/>
  <c r="V132" i="19"/>
  <c r="W132" i="19"/>
  <c r="X132" i="19"/>
  <c r="Y132" i="19"/>
  <c r="N133" i="19"/>
  <c r="O133" i="19"/>
  <c r="P133" i="19"/>
  <c r="Q133" i="19"/>
  <c r="R133" i="19"/>
  <c r="S133" i="19"/>
  <c r="T133" i="19"/>
  <c r="U133" i="19"/>
  <c r="V133" i="19"/>
  <c r="W133" i="19"/>
  <c r="X133" i="19"/>
  <c r="Y133" i="19"/>
  <c r="N134" i="19"/>
  <c r="O134" i="19"/>
  <c r="P134" i="19"/>
  <c r="Q134" i="19"/>
  <c r="R134" i="19"/>
  <c r="S134" i="19"/>
  <c r="T134" i="19"/>
  <c r="U134" i="19"/>
  <c r="V134" i="19"/>
  <c r="W134" i="19"/>
  <c r="X134" i="19"/>
  <c r="Y134" i="19"/>
  <c r="N135" i="19"/>
  <c r="O135" i="19"/>
  <c r="P135" i="19"/>
  <c r="Q135" i="19"/>
  <c r="R135" i="19"/>
  <c r="S135" i="19"/>
  <c r="T135" i="19"/>
  <c r="U135" i="19"/>
  <c r="V135" i="19"/>
  <c r="W135" i="19"/>
  <c r="X135" i="19"/>
  <c r="Y135" i="19"/>
  <c r="N136" i="19"/>
  <c r="O136" i="19"/>
  <c r="P136" i="19"/>
  <c r="Q136" i="19"/>
  <c r="R136" i="19"/>
  <c r="S136" i="19"/>
  <c r="T136" i="19"/>
  <c r="U136" i="19"/>
  <c r="V136" i="19"/>
  <c r="W136" i="19"/>
  <c r="X136" i="19"/>
  <c r="Y136" i="19"/>
  <c r="N137" i="19"/>
  <c r="O137" i="19"/>
  <c r="P137" i="19"/>
  <c r="Q137" i="19"/>
  <c r="R137" i="19"/>
  <c r="S137" i="19"/>
  <c r="T137" i="19"/>
  <c r="U137" i="19"/>
  <c r="V137" i="19"/>
  <c r="W137" i="19"/>
  <c r="X137" i="19"/>
  <c r="Y137" i="19"/>
  <c r="N138" i="19"/>
  <c r="N130" i="19" s="1"/>
  <c r="O138" i="19"/>
  <c r="O130" i="19" s="1"/>
  <c r="P138" i="19"/>
  <c r="P130" i="19" s="1"/>
  <c r="Q138" i="19"/>
  <c r="Q130" i="19" s="1"/>
  <c r="R138" i="19"/>
  <c r="R130" i="19" s="1"/>
  <c r="S138" i="19"/>
  <c r="S130" i="19" s="1"/>
  <c r="T138" i="19"/>
  <c r="T130" i="19" s="1"/>
  <c r="U138" i="19"/>
  <c r="U130" i="19" s="1"/>
  <c r="V138" i="19"/>
  <c r="V130" i="19" s="1"/>
  <c r="W138" i="19"/>
  <c r="W130" i="19" s="1"/>
  <c r="X138" i="19"/>
  <c r="X130" i="19" s="1"/>
  <c r="Y138" i="19"/>
  <c r="Y130" i="19" s="1"/>
  <c r="E139" i="19"/>
  <c r="AE120" i="19" s="1"/>
  <c r="N139" i="19"/>
  <c r="O139" i="19"/>
  <c r="P139" i="19"/>
  <c r="Q139" i="19"/>
  <c r="R139" i="19"/>
  <c r="S139" i="19"/>
  <c r="T139" i="19"/>
  <c r="U139" i="19"/>
  <c r="V139" i="19"/>
  <c r="W139" i="19"/>
  <c r="X139" i="19"/>
  <c r="Y139" i="19"/>
  <c r="E140" i="19"/>
  <c r="C145" i="19"/>
  <c r="L147" i="19"/>
  <c r="N144" i="19" s="1"/>
  <c r="N148" i="19"/>
  <c r="P154" i="19"/>
  <c r="Q154" i="19" s="1"/>
  <c r="R154" i="19"/>
  <c r="V154" i="19"/>
  <c r="O157" i="19"/>
  <c r="O159" i="19"/>
  <c r="O160" i="19"/>
  <c r="Q161" i="19"/>
  <c r="X166" i="19"/>
  <c r="I135" i="19" s="1"/>
  <c r="C177" i="19"/>
  <c r="C178" i="19" s="1"/>
  <c r="M183" i="19"/>
  <c r="M184" i="19"/>
  <c r="M185" i="19"/>
  <c r="M186" i="19"/>
  <c r="M187" i="19"/>
  <c r="M188" i="19"/>
  <c r="M189" i="19"/>
  <c r="M190" i="19"/>
  <c r="M191" i="19"/>
  <c r="M192" i="19"/>
  <c r="M193" i="19"/>
  <c r="C184" i="19" l="1"/>
  <c r="C196" i="19" s="1"/>
  <c r="C197" i="19" s="1"/>
  <c r="C183" i="19"/>
  <c r="C181" i="19"/>
  <c r="C180" i="19"/>
  <c r="C179" i="19"/>
  <c r="O166" i="19"/>
  <c r="AR125" i="19"/>
  <c r="AF120" i="19"/>
  <c r="AL120" i="19"/>
  <c r="AN120" i="19"/>
  <c r="AO120" i="19"/>
  <c r="AG120" i="19"/>
  <c r="AH120" i="19"/>
  <c r="AI120" i="19"/>
  <c r="AJ120" i="19"/>
  <c r="AK120" i="19"/>
  <c r="AM120" i="19"/>
  <c r="AP120" i="19"/>
  <c r="AQ120" i="19"/>
  <c r="Z139" i="19"/>
  <c r="N145" i="19"/>
  <c r="I137" i="19"/>
  <c r="C182" i="19"/>
  <c r="AE121" i="19"/>
  <c r="AD133" i="19" s="1"/>
  <c r="C171" i="19" l="1"/>
  <c r="C37" i="19" l="1"/>
  <c r="N22" i="19" l="1"/>
  <c r="O22" i="19"/>
  <c r="P22" i="19"/>
  <c r="T22" i="19"/>
  <c r="V22" i="19"/>
  <c r="W22" i="19"/>
  <c r="Y22" i="19"/>
  <c r="Q22" i="19"/>
  <c r="R22" i="19"/>
  <c r="S22" i="19"/>
  <c r="U22" i="19"/>
  <c r="X22" i="19"/>
  <c r="C139" i="19"/>
  <c r="J115" i="19" s="1"/>
  <c r="J15" i="19"/>
  <c r="J14" i="19"/>
  <c r="I2" i="15"/>
  <c r="Z124" i="19" l="1"/>
  <c r="T124" i="19"/>
  <c r="S124" i="19"/>
  <c r="U124" i="19"/>
  <c r="X124" i="19"/>
  <c r="E190" i="19"/>
  <c r="E191" i="19" s="1"/>
  <c r="Q124" i="19"/>
  <c r="O124" i="19"/>
  <c r="P124" i="19"/>
  <c r="Y124" i="19"/>
  <c r="N124" i="19"/>
  <c r="W124" i="19"/>
  <c r="V124" i="19"/>
  <c r="AE119" i="19"/>
  <c r="AD132" i="19" s="1"/>
  <c r="C38" i="19"/>
  <c r="R124" i="19"/>
  <c r="K107" i="19"/>
  <c r="J124" i="19"/>
  <c r="AD131" i="19"/>
  <c r="C140" i="19" l="1"/>
  <c r="C191" i="19"/>
  <c r="C190" i="19"/>
  <c r="G9" i="18"/>
  <c r="G34" i="18"/>
  <c r="F3" i="18"/>
  <c r="L3" i="18"/>
  <c r="E104" i="19" s="1"/>
  <c r="Y109" i="19" s="1"/>
  <c r="M2" i="18"/>
  <c r="F104" i="19" s="1"/>
  <c r="Y110" i="19" s="1"/>
  <c r="P25" i="18" l="1"/>
  <c r="P23" i="18"/>
  <c r="P21" i="18"/>
  <c r="P19" i="18"/>
  <c r="P24" i="18"/>
  <c r="P22" i="18"/>
  <c r="P20" i="18"/>
  <c r="E4" i="15" l="1"/>
  <c r="N45" i="15"/>
  <c r="H1" i="15" l="1"/>
  <c r="D3" i="18"/>
  <c r="N47" i="15"/>
  <c r="Z24" i="19"/>
  <c r="E2" i="19"/>
  <c r="F2" i="19"/>
  <c r="L11" i="18"/>
  <c r="O11" i="18" s="1"/>
  <c r="U11" i="18" s="1"/>
  <c r="L10" i="18"/>
  <c r="O10" i="18" s="1"/>
  <c r="O34" i="18" l="1"/>
  <c r="U10" i="18"/>
  <c r="U34" i="18" l="1"/>
  <c r="M1" i="18"/>
  <c r="J7" i="19"/>
  <c r="E52" i="18" l="1"/>
  <c r="D52" i="18" s="1"/>
  <c r="E51" i="18"/>
  <c r="E47" i="18"/>
  <c r="D47" i="18" s="1"/>
  <c r="E46" i="18"/>
  <c r="D46" i="18" s="1"/>
  <c r="J45" i="18"/>
  <c r="E45" i="18"/>
  <c r="D45" i="18" s="1"/>
  <c r="G44" i="18"/>
  <c r="E44" i="18"/>
  <c r="D44" i="18" s="1"/>
  <c r="G43" i="18"/>
  <c r="J43" i="18" s="1"/>
  <c r="E43" i="18"/>
  <c r="D43" i="18" s="1"/>
  <c r="E42" i="18"/>
  <c r="D42" i="18" s="1"/>
  <c r="I44" i="18" l="1"/>
  <c r="J44" i="18"/>
  <c r="I43" i="18"/>
  <c r="C5" i="19" l="1"/>
  <c r="C65" i="18"/>
  <c r="M91" i="19" l="1"/>
  <c r="M90" i="19"/>
  <c r="M89" i="19"/>
  <c r="M88" i="19"/>
  <c r="M87" i="19"/>
  <c r="M86" i="19"/>
  <c r="M85" i="19"/>
  <c r="M84" i="19"/>
  <c r="M83" i="19"/>
  <c r="M82" i="19"/>
  <c r="M81" i="19"/>
  <c r="C75" i="19"/>
  <c r="C81" i="19" s="1"/>
  <c r="X64" i="19"/>
  <c r="Q59" i="19"/>
  <c r="O58" i="19"/>
  <c r="O57" i="19"/>
  <c r="O55" i="19"/>
  <c r="V52" i="19"/>
  <c r="N46" i="19"/>
  <c r="P52" i="19" s="1"/>
  <c r="R52" i="19" s="1"/>
  <c r="L45" i="19"/>
  <c r="C43" i="19"/>
  <c r="N42" i="19"/>
  <c r="N43" i="19" s="1"/>
  <c r="Y37" i="19"/>
  <c r="X37" i="19"/>
  <c r="W37" i="19"/>
  <c r="V37" i="19"/>
  <c r="U37" i="19"/>
  <c r="T37" i="19"/>
  <c r="S37" i="19"/>
  <c r="R37" i="19"/>
  <c r="Q37" i="19"/>
  <c r="P37" i="19"/>
  <c r="O37" i="19"/>
  <c r="N37" i="19"/>
  <c r="E88" i="19"/>
  <c r="E89" i="19" s="1"/>
  <c r="Y36" i="19"/>
  <c r="Y28" i="19" s="1"/>
  <c r="X36" i="19"/>
  <c r="X28" i="19" s="1"/>
  <c r="W36" i="19"/>
  <c r="V36" i="19"/>
  <c r="V28" i="19" s="1"/>
  <c r="U36" i="19"/>
  <c r="U28" i="19" s="1"/>
  <c r="T36" i="19"/>
  <c r="T28" i="19" s="1"/>
  <c r="S36" i="19"/>
  <c r="S28" i="19" s="1"/>
  <c r="R36" i="19"/>
  <c r="R28" i="19" s="1"/>
  <c r="Q36" i="19"/>
  <c r="Q28" i="19" s="1"/>
  <c r="P36" i="19"/>
  <c r="P28" i="19" s="1"/>
  <c r="O36" i="19"/>
  <c r="O28" i="19" s="1"/>
  <c r="N36" i="19"/>
  <c r="N28" i="19" s="1"/>
  <c r="Y35" i="19"/>
  <c r="X35" i="19"/>
  <c r="W35" i="19"/>
  <c r="V35" i="19"/>
  <c r="U35" i="19"/>
  <c r="T35" i="19"/>
  <c r="S35" i="19"/>
  <c r="R35" i="19"/>
  <c r="Q35" i="19"/>
  <c r="P35" i="19"/>
  <c r="O35" i="19"/>
  <c r="N35" i="19"/>
  <c r="I35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I33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W28" i="19"/>
  <c r="AE23" i="19"/>
  <c r="AE125" i="19" s="1"/>
  <c r="AE19" i="19"/>
  <c r="AD31" i="19" s="1"/>
  <c r="AE18" i="19"/>
  <c r="AN18" i="19" s="1"/>
  <c r="Z13" i="19"/>
  <c r="Y10" i="19"/>
  <c r="L10" i="19"/>
  <c r="L9" i="19"/>
  <c r="Y8" i="19"/>
  <c r="Y7" i="19"/>
  <c r="O7" i="19"/>
  <c r="F1" i="19"/>
  <c r="P13" i="18"/>
  <c r="P14" i="18"/>
  <c r="P15" i="18"/>
  <c r="P16" i="18"/>
  <c r="P17" i="18"/>
  <c r="P18" i="18" s="1"/>
  <c r="P27" i="18"/>
  <c r="P26" i="18" s="1"/>
  <c r="P28" i="18"/>
  <c r="P29" i="18"/>
  <c r="P30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S17" i="18"/>
  <c r="S18" i="18"/>
  <c r="S19" i="18"/>
  <c r="S20" i="18"/>
  <c r="S21" i="18"/>
  <c r="S22" i="18"/>
  <c r="S23" i="18"/>
  <c r="S24" i="18"/>
  <c r="S25" i="18"/>
  <c r="S26" i="18"/>
  <c r="S27" i="18"/>
  <c r="P34" i="18"/>
  <c r="S34" i="18"/>
  <c r="T34" i="18"/>
  <c r="T33" i="18"/>
  <c r="T32" i="18"/>
  <c r="T31" i="18"/>
  <c r="T30" i="18"/>
  <c r="T29" i="18"/>
  <c r="T15" i="18"/>
  <c r="T14" i="18"/>
  <c r="T13" i="18"/>
  <c r="T12" i="18"/>
  <c r="T11" i="18"/>
  <c r="T10" i="18"/>
  <c r="P33" i="18"/>
  <c r="P32" i="18"/>
  <c r="P31" i="18"/>
  <c r="P12" i="18"/>
  <c r="P11" i="18"/>
  <c r="P10" i="18"/>
  <c r="V11" i="18"/>
  <c r="V12" i="18"/>
  <c r="V13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29" i="18"/>
  <c r="V30" i="18"/>
  <c r="V31" i="18"/>
  <c r="V32" i="18"/>
  <c r="V33" i="18"/>
  <c r="V10" i="18"/>
  <c r="S28" i="18"/>
  <c r="S29" i="18"/>
  <c r="S30" i="18"/>
  <c r="S31" i="18"/>
  <c r="S32" i="18"/>
  <c r="S33" i="18"/>
  <c r="S11" i="18"/>
  <c r="S12" i="18"/>
  <c r="S13" i="18"/>
  <c r="S14" i="18"/>
  <c r="S15" i="18"/>
  <c r="S16" i="18"/>
  <c r="S10" i="18"/>
  <c r="O64" i="19" l="1"/>
  <c r="AH18" i="19"/>
  <c r="AI18" i="19"/>
  <c r="AK18" i="19"/>
  <c r="AP18" i="19"/>
  <c r="AQ18" i="19"/>
  <c r="AL18" i="19"/>
  <c r="AE17" i="19"/>
  <c r="AD30" i="19" s="1"/>
  <c r="J13" i="19"/>
  <c r="Z22" i="19"/>
  <c r="AG18" i="19"/>
  <c r="AO18" i="19"/>
  <c r="C82" i="19"/>
  <c r="C94" i="19" s="1"/>
  <c r="C95" i="19" s="1"/>
  <c r="C76" i="19"/>
  <c r="C77" i="19"/>
  <c r="AJ18" i="19"/>
  <c r="C78" i="19"/>
  <c r="C79" i="19"/>
  <c r="Q52" i="19"/>
  <c r="C80" i="19"/>
  <c r="AM18" i="19"/>
  <c r="AF18" i="19"/>
  <c r="Z37" i="19"/>
  <c r="AD29" i="19" l="1"/>
  <c r="C89" i="19"/>
  <c r="J22" i="19"/>
  <c r="C88" i="19"/>
  <c r="C69" i="19"/>
  <c r="N41" i="15" l="1"/>
  <c r="N44" i="15"/>
  <c r="C66" i="18" l="1"/>
  <c r="Q15" i="18" l="1"/>
  <c r="Q23" i="18"/>
  <c r="Q20" i="18"/>
  <c r="Q16" i="18"/>
  <c r="Q24" i="18"/>
  <c r="Q34" i="18"/>
  <c r="Q17" i="18"/>
  <c r="Q25" i="18"/>
  <c r="Q18" i="18"/>
  <c r="Q26" i="18"/>
  <c r="Q28" i="18"/>
  <c r="Q19" i="18"/>
  <c r="Q27" i="18"/>
  <c r="Q21" i="18"/>
  <c r="Q29" i="18"/>
  <c r="Q14" i="18"/>
  <c r="Q22" i="18"/>
  <c r="Q30" i="18"/>
  <c r="R20" i="18"/>
  <c r="R21" i="18"/>
  <c r="R17" i="18"/>
  <c r="R22" i="18"/>
  <c r="R34" i="18"/>
  <c r="R23" i="18"/>
  <c r="R24" i="18"/>
  <c r="R18" i="18"/>
  <c r="R26" i="18"/>
  <c r="R25" i="18"/>
  <c r="R19" i="18"/>
  <c r="Q31" i="18"/>
  <c r="Q32" i="18"/>
  <c r="Q33" i="18"/>
  <c r="Q10" i="18"/>
  <c r="Q11" i="18"/>
  <c r="Q12" i="18"/>
  <c r="Q13" i="18"/>
  <c r="R28" i="18"/>
  <c r="R32" i="18"/>
  <c r="R13" i="18"/>
  <c r="R29" i="18"/>
  <c r="R33" i="18"/>
  <c r="R14" i="18"/>
  <c r="R30" i="18"/>
  <c r="R10" i="18"/>
  <c r="R27" i="18"/>
  <c r="R11" i="18"/>
  <c r="R15" i="18"/>
  <c r="R31" i="18"/>
  <c r="R12" i="18"/>
  <c r="R16" i="18"/>
  <c r="E34" i="18" l="1"/>
  <c r="E9" i="18"/>
  <c r="K34" i="18" l="1"/>
  <c r="F34" i="18"/>
  <c r="I34" i="18"/>
  <c r="D34" i="18"/>
  <c r="C34" i="18"/>
  <c r="L33" i="18"/>
  <c r="O33" i="18" s="1"/>
  <c r="U33" i="18" s="1"/>
  <c r="L32" i="18"/>
  <c r="O32" i="18" s="1"/>
  <c r="U32" i="18" s="1"/>
  <c r="L31" i="18"/>
  <c r="O31" i="18" s="1"/>
  <c r="U31" i="18" s="1"/>
  <c r="L30" i="18"/>
  <c r="O30" i="18" s="1"/>
  <c r="U30" i="18" s="1"/>
  <c r="L29" i="18"/>
  <c r="O29" i="18" s="1"/>
  <c r="U29" i="18" s="1"/>
  <c r="L28" i="18"/>
  <c r="O28" i="18" s="1"/>
  <c r="U28" i="18" s="1"/>
  <c r="J34" i="18"/>
  <c r="L27" i="18"/>
  <c r="O27" i="18" s="1"/>
  <c r="U27" i="18" s="1"/>
  <c r="L26" i="18"/>
  <c r="O26" i="18" s="1"/>
  <c r="U26" i="18" s="1"/>
  <c r="L25" i="18"/>
  <c r="O25" i="18" s="1"/>
  <c r="U25" i="18" s="1"/>
  <c r="L24" i="18"/>
  <c r="O24" i="18" s="1"/>
  <c r="U24" i="18" s="1"/>
  <c r="L23" i="18"/>
  <c r="O23" i="18" s="1"/>
  <c r="U23" i="18" s="1"/>
  <c r="L22" i="18"/>
  <c r="O22" i="18" s="1"/>
  <c r="U22" i="18" s="1"/>
  <c r="L21" i="18"/>
  <c r="O21" i="18" s="1"/>
  <c r="U21" i="18" s="1"/>
  <c r="L20" i="18"/>
  <c r="O20" i="18" s="1"/>
  <c r="U20" i="18" s="1"/>
  <c r="L19" i="18"/>
  <c r="O19" i="18" s="1"/>
  <c r="U19" i="18" s="1"/>
  <c r="H9" i="18"/>
  <c r="L17" i="18"/>
  <c r="O17" i="18" s="1"/>
  <c r="U17" i="18" s="1"/>
  <c r="L16" i="18"/>
  <c r="O16" i="18" s="1"/>
  <c r="U16" i="18" s="1"/>
  <c r="L15" i="18"/>
  <c r="O15" i="18" s="1"/>
  <c r="U15" i="18" s="1"/>
  <c r="L14" i="18"/>
  <c r="O14" i="18" s="1"/>
  <c r="U14" i="18" s="1"/>
  <c r="L13" i="18"/>
  <c r="O13" i="18" s="1"/>
  <c r="U13" i="18" s="1"/>
  <c r="L12" i="18"/>
  <c r="O12" i="18" s="1"/>
  <c r="U12" i="18" s="1"/>
  <c r="K9" i="18"/>
  <c r="F9" i="18"/>
  <c r="J9" i="18"/>
  <c r="I9" i="18"/>
  <c r="D9" i="18"/>
  <c r="C9" i="18"/>
  <c r="Q41" i="15"/>
  <c r="E26" i="15"/>
  <c r="R41" i="15"/>
  <c r="H34" i="18" l="1"/>
  <c r="L18" i="18"/>
  <c r="C151" i="19" l="1"/>
  <c r="C149" i="19"/>
  <c r="C152" i="19"/>
  <c r="C154" i="19" s="1"/>
  <c r="C147" i="19"/>
  <c r="C155" i="19"/>
  <c r="C148" i="19"/>
  <c r="C166" i="19"/>
  <c r="C164" i="19"/>
  <c r="C165" i="19" s="1"/>
  <c r="C150" i="19"/>
  <c r="C153" i="19" s="1"/>
  <c r="C118" i="19"/>
  <c r="C111" i="19"/>
  <c r="L114" i="19" s="1"/>
  <c r="C110" i="19"/>
  <c r="C109" i="19"/>
  <c r="C116" i="19"/>
  <c r="C117" i="19"/>
  <c r="C119" i="19"/>
  <c r="C114" i="19"/>
  <c r="C121" i="19"/>
  <c r="C123" i="19"/>
  <c r="C124" i="19"/>
  <c r="C112" i="19"/>
  <c r="C126" i="19"/>
  <c r="C115" i="19"/>
  <c r="C125" i="19"/>
  <c r="C120" i="19"/>
  <c r="I118" i="19" s="1"/>
  <c r="J118" i="19" s="1"/>
  <c r="C113" i="19"/>
  <c r="C122" i="19"/>
  <c r="C137" i="19"/>
  <c r="E137" i="19" s="1"/>
  <c r="C127" i="19"/>
  <c r="Q43" i="15"/>
  <c r="Q42" i="15"/>
  <c r="R43" i="15"/>
  <c r="N43" i="15" s="1"/>
  <c r="R42" i="15"/>
  <c r="N42" i="15" s="1"/>
  <c r="L9" i="18"/>
  <c r="M17" i="18" s="1"/>
  <c r="Q45" i="15"/>
  <c r="R45" i="15"/>
  <c r="L34" i="18"/>
  <c r="O18" i="18"/>
  <c r="U18" i="18" s="1"/>
  <c r="C50" i="19"/>
  <c r="C49" i="19"/>
  <c r="C46" i="19"/>
  <c r="C45" i="19"/>
  <c r="E35" i="15" s="1"/>
  <c r="C62" i="19"/>
  <c r="C63" i="19" s="1"/>
  <c r="C48" i="19"/>
  <c r="C53" i="19"/>
  <c r="C47" i="19"/>
  <c r="C64" i="19"/>
  <c r="C21" i="19"/>
  <c r="C7" i="19"/>
  <c r="C11" i="19"/>
  <c r="C20" i="19"/>
  <c r="C8" i="19"/>
  <c r="C9" i="19"/>
  <c r="C14" i="19"/>
  <c r="C15" i="19"/>
  <c r="C13" i="19"/>
  <c r="C16" i="19"/>
  <c r="C22" i="19"/>
  <c r="C35" i="19"/>
  <c r="E35" i="19" s="1"/>
  <c r="C17" i="19"/>
  <c r="C19" i="19"/>
  <c r="C18" i="19"/>
  <c r="I16" i="19" s="1"/>
  <c r="J16" i="19" s="1"/>
  <c r="N24" i="19" s="1"/>
  <c r="C12" i="19"/>
  <c r="C23" i="19"/>
  <c r="C10" i="19"/>
  <c r="C24" i="19"/>
  <c r="C25" i="19"/>
  <c r="Q44" i="15"/>
  <c r="R44" i="15"/>
  <c r="C167" i="19" l="1"/>
  <c r="C168" i="19" s="1" a="1"/>
  <c r="C168" i="19" s="1"/>
  <c r="C173" i="19" s="1"/>
  <c r="C172" i="19" s="1"/>
  <c r="C174" i="19" s="1"/>
  <c r="C175" i="19" s="1"/>
  <c r="C130" i="19"/>
  <c r="C131" i="19" s="1"/>
  <c r="C108" i="19"/>
  <c r="K114" i="19" s="1"/>
  <c r="C135" i="19"/>
  <c r="C134" i="19"/>
  <c r="C136" i="19" s="1"/>
  <c r="C161" i="19"/>
  <c r="C162" i="19"/>
  <c r="Q126" i="19"/>
  <c r="V126" i="19"/>
  <c r="W126" i="19"/>
  <c r="X126" i="19"/>
  <c r="O126" i="19"/>
  <c r="S126" i="19"/>
  <c r="Y126" i="19"/>
  <c r="R126" i="19"/>
  <c r="P126" i="19"/>
  <c r="N126" i="19"/>
  <c r="Z126" i="19"/>
  <c r="T126" i="19"/>
  <c r="U126" i="19"/>
  <c r="C158" i="19"/>
  <c r="C132" i="19"/>
  <c r="C133" i="19"/>
  <c r="E133" i="19"/>
  <c r="C146" i="19"/>
  <c r="C157" i="19"/>
  <c r="O24" i="19"/>
  <c r="V24" i="19"/>
  <c r="P24" i="19"/>
  <c r="Y24" i="19"/>
  <c r="X24" i="19"/>
  <c r="W24" i="19"/>
  <c r="U24" i="19"/>
  <c r="T24" i="19"/>
  <c r="S24" i="19"/>
  <c r="R24" i="19"/>
  <c r="Q24" i="19"/>
  <c r="C65" i="19"/>
  <c r="C66" i="19" s="1" a="1"/>
  <c r="C66" i="19" s="1"/>
  <c r="C71" i="19" s="1"/>
  <c r="C70" i="19" s="1"/>
  <c r="C72" i="19" s="1"/>
  <c r="C56" i="19"/>
  <c r="C44" i="19"/>
  <c r="C55" i="19"/>
  <c r="C51" i="19"/>
  <c r="C52" i="19"/>
  <c r="L12" i="19"/>
  <c r="E34" i="15"/>
  <c r="C6" i="19"/>
  <c r="K12" i="19" s="1"/>
  <c r="C28" i="19"/>
  <c r="C29" i="19" s="1"/>
  <c r="C32" i="19"/>
  <c r="C34" i="19" s="1"/>
  <c r="C33" i="19"/>
  <c r="C31" i="19"/>
  <c r="E31" i="19"/>
  <c r="C30" i="19"/>
  <c r="C159" i="19" l="1"/>
  <c r="C163" i="19"/>
  <c r="E162" i="19"/>
  <c r="F162" i="19" s="1"/>
  <c r="L113" i="19"/>
  <c r="C193" i="19"/>
  <c r="C192" i="19"/>
  <c r="E161" i="19"/>
  <c r="F161" i="19" s="1"/>
  <c r="C57" i="19"/>
  <c r="C59" i="19"/>
  <c r="E59" i="19" s="1"/>
  <c r="F59" i="19" s="1"/>
  <c r="C60" i="19"/>
  <c r="C73" i="19"/>
  <c r="L11" i="19"/>
  <c r="C91" i="19"/>
  <c r="C90" i="19"/>
  <c r="L119" i="19" l="1"/>
  <c r="C198" i="19"/>
  <c r="C160" i="19"/>
  <c r="L17" i="19"/>
  <c r="X47" i="19" s="1"/>
  <c r="X48" i="19" s="1"/>
  <c r="X49" i="19" s="1"/>
  <c r="C96" i="19"/>
  <c r="E29" i="15" s="1"/>
  <c r="I30" i="15" s="1"/>
  <c r="C58" i="19"/>
  <c r="E28" i="15" s="1"/>
  <c r="C61" i="19"/>
  <c r="E60" i="19"/>
  <c r="F60" i="19" s="1"/>
  <c r="P47" i="19"/>
  <c r="P48" i="19" s="1"/>
  <c r="P49" i="19" s="1"/>
  <c r="E30" i="15" l="1"/>
  <c r="Q149" i="19"/>
  <c r="Q150" i="19" s="1"/>
  <c r="Q151" i="19" s="1"/>
  <c r="V149" i="19"/>
  <c r="V150" i="19" s="1"/>
  <c r="R149" i="19"/>
  <c r="R150" i="19" s="1"/>
  <c r="R151" i="19" s="1"/>
  <c r="O149" i="19"/>
  <c r="O150" i="19" s="1"/>
  <c r="O151" i="19" s="1"/>
  <c r="S149" i="19"/>
  <c r="S150" i="19" s="1"/>
  <c r="S151" i="19" s="1"/>
  <c r="X149" i="19"/>
  <c r="X150" i="19" s="1"/>
  <c r="X151" i="19" s="1"/>
  <c r="W149" i="19"/>
  <c r="W150" i="19" s="1"/>
  <c r="W151" i="19" s="1"/>
  <c r="Y149" i="19"/>
  <c r="Y150" i="19" s="1"/>
  <c r="Y151" i="19" s="1"/>
  <c r="T149" i="19"/>
  <c r="T150" i="19" s="1"/>
  <c r="T151" i="19" s="1"/>
  <c r="U149" i="19"/>
  <c r="U150" i="19" s="1"/>
  <c r="U151" i="19" s="1"/>
  <c r="N149" i="19"/>
  <c r="N150" i="19" s="1"/>
  <c r="N151" i="19" s="1"/>
  <c r="P149" i="19"/>
  <c r="P150" i="19" s="1"/>
  <c r="P151" i="19" s="1"/>
  <c r="Q47" i="19"/>
  <c r="Q48" i="19" s="1"/>
  <c r="Q49" i="19" s="1"/>
  <c r="N47" i="19"/>
  <c r="N48" i="19" s="1"/>
  <c r="N49" i="19" s="1"/>
  <c r="R47" i="19"/>
  <c r="R48" i="19" s="1"/>
  <c r="R49" i="19" s="1"/>
  <c r="O47" i="19"/>
  <c r="O48" i="19" s="1"/>
  <c r="O49" i="19" s="1"/>
  <c r="Y47" i="19"/>
  <c r="Y48" i="19" s="1"/>
  <c r="Y49" i="19" s="1"/>
  <c r="T47" i="19"/>
  <c r="T48" i="19" s="1"/>
  <c r="T49" i="19" s="1"/>
  <c r="V47" i="19"/>
  <c r="V48" i="19" s="1"/>
  <c r="V49" i="19" s="1"/>
  <c r="V53" i="19" s="1"/>
  <c r="W47" i="19"/>
  <c r="W48" i="19" s="1"/>
  <c r="W49" i="19" s="1"/>
  <c r="S47" i="19"/>
  <c r="S48" i="19" s="1"/>
  <c r="S49" i="19" s="1"/>
  <c r="U47" i="19"/>
  <c r="U48" i="19" s="1"/>
  <c r="U49" i="19" s="1"/>
  <c r="V151" i="19" l="1"/>
  <c r="V156" i="19"/>
  <c r="V54" i="19"/>
  <c r="V155" i="19" l="1"/>
  <c r="N8" i="18" l="1"/>
  <c r="M8" i="18" s="1"/>
  <c r="M9" i="18" l="1"/>
  <c r="M16" i="18"/>
  <c r="M28" i="18"/>
  <c r="M11" i="18" l="1"/>
  <c r="C188" i="19" s="1"/>
  <c r="C187" i="19"/>
  <c r="C194" i="19" s="1"/>
  <c r="C195" i="19" s="1"/>
  <c r="M29" i="18"/>
  <c r="Y29" i="19" l="1"/>
  <c r="C92" i="19"/>
  <c r="C93" i="19" s="1"/>
  <c r="O29" i="19"/>
  <c r="O131" i="19" s="1"/>
  <c r="N29" i="19"/>
  <c r="AG17" i="19"/>
  <c r="N20" i="19"/>
  <c r="AF121" i="19"/>
  <c r="AL17" i="19"/>
  <c r="AP19" i="19"/>
  <c r="AO119" i="19"/>
  <c r="AL119" i="19"/>
  <c r="P122" i="19"/>
  <c r="AJ17" i="19"/>
  <c r="AJ19" i="19"/>
  <c r="AF119" i="19"/>
  <c r="AK119" i="19"/>
  <c r="N122" i="19"/>
  <c r="AL19" i="19"/>
  <c r="AO121" i="19"/>
  <c r="AN119" i="19"/>
  <c r="AJ121" i="19"/>
  <c r="S122" i="19"/>
  <c r="AN19" i="19"/>
  <c r="Q122" i="19"/>
  <c r="T20" i="19"/>
  <c r="AG19" i="19"/>
  <c r="K13" i="19"/>
  <c r="AF19" i="19"/>
  <c r="AQ121" i="19"/>
  <c r="AI19" i="19"/>
  <c r="AN17" i="19"/>
  <c r="AI17" i="19"/>
  <c r="AN121" i="19"/>
  <c r="AH19" i="19"/>
  <c r="O122" i="19"/>
  <c r="AH17" i="19"/>
  <c r="W122" i="19"/>
  <c r="AG119" i="19"/>
  <c r="O20" i="19"/>
  <c r="AO19" i="19"/>
  <c r="AP119" i="19"/>
  <c r="AK121" i="19"/>
  <c r="AQ119" i="19"/>
  <c r="R20" i="19"/>
  <c r="V122" i="19"/>
  <c r="AM17" i="19"/>
  <c r="AM19" i="19"/>
  <c r="X20" i="19"/>
  <c r="AM121" i="19"/>
  <c r="P20" i="19"/>
  <c r="AL121" i="19"/>
  <c r="Y122" i="19"/>
  <c r="AP121" i="19"/>
  <c r="AI119" i="19"/>
  <c r="AP17" i="19"/>
  <c r="R122" i="19"/>
  <c r="U122" i="19"/>
  <c r="AM119" i="19"/>
  <c r="Y20" i="19"/>
  <c r="U20" i="19"/>
  <c r="X122" i="19"/>
  <c r="AQ19" i="19"/>
  <c r="AK17" i="19"/>
  <c r="W20" i="19"/>
  <c r="AJ119" i="19"/>
  <c r="AH121" i="19"/>
  <c r="AF17" i="19"/>
  <c r="T122" i="19"/>
  <c r="AH119" i="19"/>
  <c r="Q20" i="19"/>
  <c r="AO17" i="19"/>
  <c r="S20" i="19"/>
  <c r="V20" i="19"/>
  <c r="AQ17" i="19"/>
  <c r="AG121" i="19"/>
  <c r="AI121" i="19"/>
  <c r="K115" i="19"/>
  <c r="AK19" i="19"/>
  <c r="AM122" i="19" l="1"/>
  <c r="AJ122" i="19"/>
  <c r="AK122" i="19"/>
  <c r="AF122" i="19"/>
  <c r="AP122" i="19"/>
  <c r="AO122" i="19"/>
  <c r="AN122" i="19"/>
  <c r="AI122" i="19"/>
  <c r="AQ122" i="19"/>
  <c r="AH122" i="19"/>
  <c r="AL122" i="19"/>
  <c r="AG122" i="19"/>
  <c r="U125" i="19"/>
  <c r="U127" i="19" s="1"/>
  <c r="N125" i="19"/>
  <c r="T125" i="19"/>
  <c r="T127" i="19" s="1"/>
  <c r="R125" i="19"/>
  <c r="R127" i="19" s="1"/>
  <c r="W125" i="19"/>
  <c r="W127" i="19" s="1"/>
  <c r="P125" i="19"/>
  <c r="P127" i="19" s="1"/>
  <c r="Q125" i="19"/>
  <c r="Q127" i="19" s="1"/>
  <c r="S125" i="19"/>
  <c r="S127" i="19" s="1"/>
  <c r="O125" i="19"/>
  <c r="O127" i="19" s="1"/>
  <c r="V125" i="19"/>
  <c r="V127" i="19" s="1"/>
  <c r="X125" i="19"/>
  <c r="X127" i="19" s="1"/>
  <c r="Y125" i="19"/>
  <c r="Y127" i="19" s="1"/>
  <c r="AJ20" i="19"/>
  <c r="N23" i="19"/>
  <c r="S23" i="19"/>
  <c r="S25" i="19" s="1"/>
  <c r="AP20" i="19"/>
  <c r="AQ20" i="19"/>
  <c r="AG20" i="19"/>
  <c r="X23" i="19"/>
  <c r="X25" i="19" s="1"/>
  <c r="AK20" i="19"/>
  <c r="O23" i="19"/>
  <c r="O25" i="19" s="1"/>
  <c r="AF20" i="19"/>
  <c r="AN20" i="19"/>
  <c r="R23" i="19"/>
  <c r="R25" i="19" s="1"/>
  <c r="W23" i="19"/>
  <c r="W25" i="19" s="1"/>
  <c r="U23" i="19"/>
  <c r="U25" i="19" s="1"/>
  <c r="AH20" i="19"/>
  <c r="T23" i="19"/>
  <c r="T25" i="19" s="1"/>
  <c r="V23" i="19"/>
  <c r="V25" i="19" s="1"/>
  <c r="AI20" i="19"/>
  <c r="P23" i="19"/>
  <c r="P25" i="19" s="1"/>
  <c r="Y23" i="19"/>
  <c r="Y25" i="19" s="1"/>
  <c r="Q23" i="19"/>
  <c r="Q25" i="19" s="1"/>
  <c r="AL20" i="19"/>
  <c r="AO20" i="19"/>
  <c r="AM20" i="19"/>
  <c r="Y131" i="19"/>
  <c r="AB29" i="19"/>
  <c r="C29" i="15"/>
  <c r="N131" i="19"/>
  <c r="I131" i="19" s="1"/>
  <c r="I132" i="19" s="1"/>
  <c r="I29" i="19"/>
  <c r="I30" i="19" s="1"/>
  <c r="W29" i="19"/>
  <c r="W131" i="19" s="1"/>
  <c r="U29" i="19"/>
  <c r="T29" i="19"/>
  <c r="T131" i="19" s="1"/>
  <c r="X29" i="19"/>
  <c r="X131" i="19" s="1"/>
  <c r="V29" i="19"/>
  <c r="V131" i="19" s="1"/>
  <c r="R29" i="19"/>
  <c r="R131" i="19" s="1"/>
  <c r="P29" i="19"/>
  <c r="P131" i="19" s="1"/>
  <c r="S29" i="19"/>
  <c r="S131" i="19" s="1"/>
  <c r="Q29" i="19"/>
  <c r="Q131" i="19" s="1"/>
  <c r="P128" i="19" l="1"/>
  <c r="P16" i="15" s="1"/>
  <c r="P18" i="15" s="1"/>
  <c r="P50" i="19"/>
  <c r="P51" i="19"/>
  <c r="P38" i="19" s="1"/>
  <c r="P39" i="19" s="1"/>
  <c r="P40" i="19" s="1"/>
  <c r="P41" i="19" s="1"/>
  <c r="Q26" i="19"/>
  <c r="Q153" i="19"/>
  <c r="Q140" i="19" s="1"/>
  <c r="Q141" i="19" s="1"/>
  <c r="Q142" i="19" s="1"/>
  <c r="Q143" i="19" s="1"/>
  <c r="Q152" i="19"/>
  <c r="P153" i="19"/>
  <c r="P140" i="19" s="1"/>
  <c r="P141" i="19" s="1"/>
  <c r="P142" i="19" s="1"/>
  <c r="P143" i="19" s="1"/>
  <c r="P26" i="19"/>
  <c r="P152" i="19"/>
  <c r="V128" i="19"/>
  <c r="V16" i="15" s="1"/>
  <c r="V18" i="15" s="1"/>
  <c r="V50" i="19"/>
  <c r="V51" i="19"/>
  <c r="V38" i="19" s="1"/>
  <c r="V39" i="19" s="1"/>
  <c r="V40" i="19" s="1"/>
  <c r="V41" i="19" s="1"/>
  <c r="W153" i="19"/>
  <c r="W140" i="19" s="1"/>
  <c r="W141" i="19" s="1"/>
  <c r="W142" i="19" s="1"/>
  <c r="W143" i="19" s="1"/>
  <c r="W26" i="19"/>
  <c r="W152" i="19"/>
  <c r="T128" i="19"/>
  <c r="T16" i="15" s="1"/>
  <c r="T18" i="15" s="1"/>
  <c r="T51" i="19"/>
  <c r="T38" i="19" s="1"/>
  <c r="T39" i="19" s="1"/>
  <c r="T40" i="19" s="1"/>
  <c r="T41" i="19" s="1"/>
  <c r="T50" i="19"/>
  <c r="R152" i="19"/>
  <c r="R153" i="19"/>
  <c r="R140" i="19" s="1"/>
  <c r="R141" i="19" s="1"/>
  <c r="R142" i="19" s="1"/>
  <c r="R143" i="19" s="1"/>
  <c r="R26" i="19"/>
  <c r="S128" i="19"/>
  <c r="S16" i="15" s="1"/>
  <c r="S18" i="15" s="1"/>
  <c r="S50" i="19"/>
  <c r="S51" i="19"/>
  <c r="S38" i="19" s="1"/>
  <c r="S39" i="19" s="1"/>
  <c r="S40" i="19" s="1"/>
  <c r="S41" i="19" s="1"/>
  <c r="T152" i="19"/>
  <c r="T153" i="19"/>
  <c r="T140" i="19" s="1"/>
  <c r="T141" i="19" s="1"/>
  <c r="T142" i="19" s="1"/>
  <c r="T143" i="19" s="1"/>
  <c r="T26" i="19"/>
  <c r="U128" i="19"/>
  <c r="U16" i="15" s="1"/>
  <c r="U18" i="15" s="1"/>
  <c r="U51" i="19"/>
  <c r="U38" i="19" s="1"/>
  <c r="U39" i="19" s="1"/>
  <c r="U40" i="19" s="1"/>
  <c r="U41" i="19" s="1"/>
  <c r="U50" i="19"/>
  <c r="N127" i="19"/>
  <c r="Z125" i="19"/>
  <c r="Z127" i="19" s="1"/>
  <c r="W128" i="19"/>
  <c r="W16" i="15" s="1"/>
  <c r="W18" i="15" s="1"/>
  <c r="W51" i="19"/>
  <c r="W38" i="19" s="1"/>
  <c r="W39" i="19" s="1"/>
  <c r="W40" i="19" s="1"/>
  <c r="W41" i="19" s="1"/>
  <c r="W50" i="19"/>
  <c r="R128" i="19"/>
  <c r="R16" i="15" s="1"/>
  <c r="R18" i="15" s="1"/>
  <c r="R50" i="19"/>
  <c r="R51" i="19"/>
  <c r="R38" i="19" s="1"/>
  <c r="R39" i="19" s="1"/>
  <c r="R40" i="19" s="1"/>
  <c r="R41" i="19" s="1"/>
  <c r="Y153" i="19"/>
  <c r="Y140" i="19" s="1"/>
  <c r="Y141" i="19" s="1"/>
  <c r="Y142" i="19" s="1"/>
  <c r="Y143" i="19" s="1"/>
  <c r="Y152" i="19"/>
  <c r="Y26" i="19"/>
  <c r="AC26" i="19" s="1"/>
  <c r="X153" i="19"/>
  <c r="X140" i="19" s="1"/>
  <c r="X141" i="19" s="1"/>
  <c r="X142" i="19" s="1"/>
  <c r="X143" i="19" s="1"/>
  <c r="X152" i="19"/>
  <c r="X26" i="19"/>
  <c r="V26" i="19"/>
  <c r="V152" i="19"/>
  <c r="V153" i="19"/>
  <c r="V140" i="19" s="1"/>
  <c r="V141" i="19" s="1"/>
  <c r="V142" i="19" s="1"/>
  <c r="V143" i="19" s="1"/>
  <c r="Q128" i="19"/>
  <c r="Q16" i="15" s="1"/>
  <c r="Q18" i="15" s="1"/>
  <c r="Q50" i="19"/>
  <c r="Q51" i="19"/>
  <c r="Q38" i="19" s="1"/>
  <c r="Q39" i="19" s="1"/>
  <c r="Q40" i="19" s="1"/>
  <c r="Q41" i="19" s="1"/>
  <c r="O128" i="19"/>
  <c r="O16" i="15" s="1"/>
  <c r="O18" i="15" s="1"/>
  <c r="O50" i="19"/>
  <c r="O51" i="19"/>
  <c r="O38" i="19" s="1"/>
  <c r="O39" i="19" s="1"/>
  <c r="O40" i="19" s="1"/>
  <c r="O41" i="19" s="1"/>
  <c r="O153" i="19"/>
  <c r="O140" i="19" s="1"/>
  <c r="O141" i="19" s="1"/>
  <c r="O142" i="19" s="1"/>
  <c r="O143" i="19" s="1"/>
  <c r="O152" i="19"/>
  <c r="O26" i="19"/>
  <c r="Y128" i="19"/>
  <c r="Y16" i="15" s="1"/>
  <c r="Y18" i="15" s="1"/>
  <c r="Y50" i="19"/>
  <c r="Y51" i="19"/>
  <c r="Y38" i="19" s="1"/>
  <c r="Y39" i="19" s="1"/>
  <c r="Y40" i="19" s="1"/>
  <c r="Y41" i="19" s="1"/>
  <c r="S26" i="19"/>
  <c r="S153" i="19"/>
  <c r="S140" i="19" s="1"/>
  <c r="S141" i="19" s="1"/>
  <c r="S142" i="19" s="1"/>
  <c r="S143" i="19" s="1"/>
  <c r="S152" i="19"/>
  <c r="X128" i="19"/>
  <c r="X16" i="15" s="1"/>
  <c r="X18" i="15" s="1"/>
  <c r="X51" i="19"/>
  <c r="X38" i="19" s="1"/>
  <c r="X39" i="19" s="1"/>
  <c r="X40" i="19" s="1"/>
  <c r="X41" i="19" s="1"/>
  <c r="X50" i="19"/>
  <c r="N25" i="19"/>
  <c r="Z23" i="19"/>
  <c r="Z25" i="19" s="1"/>
  <c r="U26" i="19"/>
  <c r="U152" i="19"/>
  <c r="U153" i="19"/>
  <c r="U140" i="19" s="1"/>
  <c r="U141" i="19" s="1"/>
  <c r="U142" i="19" s="1"/>
  <c r="U143" i="19" s="1"/>
  <c r="U131" i="19"/>
  <c r="S129" i="19" l="1"/>
  <c r="Z135" i="19"/>
  <c r="P129" i="19"/>
  <c r="O129" i="19"/>
  <c r="Q129" i="19"/>
  <c r="V129" i="19"/>
  <c r="R129" i="19"/>
  <c r="T129" i="19"/>
  <c r="Y129" i="19"/>
  <c r="Z129" i="19"/>
  <c r="U129" i="19"/>
  <c r="N129" i="19"/>
  <c r="X129" i="19"/>
  <c r="W129" i="19"/>
  <c r="Z26" i="19"/>
  <c r="N128" i="19"/>
  <c r="N16" i="15" s="1"/>
  <c r="Z16" i="15" s="1"/>
  <c r="N50" i="19"/>
  <c r="N51" i="19"/>
  <c r="N38" i="19" s="1"/>
  <c r="Z128" i="19"/>
  <c r="P27" i="19"/>
  <c r="Q27" i="19"/>
  <c r="N27" i="19"/>
  <c r="X27" i="19"/>
  <c r="U27" i="19"/>
  <c r="O27" i="19"/>
  <c r="Y27" i="19"/>
  <c r="S27" i="19"/>
  <c r="W27" i="19"/>
  <c r="T27" i="19"/>
  <c r="R27" i="19"/>
  <c r="Z27" i="19"/>
  <c r="V27" i="19"/>
  <c r="Z33" i="19"/>
  <c r="N26" i="19"/>
  <c r="N153" i="19"/>
  <c r="N140" i="19" s="1"/>
  <c r="N152" i="19"/>
  <c r="N18" i="15" l="1"/>
  <c r="P19" i="15" s="1"/>
  <c r="E27" i="15"/>
  <c r="Z38" i="19"/>
  <c r="L38" i="19" s="1"/>
  <c r="N39" i="19"/>
  <c r="N141" i="19"/>
  <c r="Z140" i="19"/>
  <c r="L140" i="19" s="1"/>
  <c r="E32" i="15" l="1"/>
  <c r="I32" i="15" s="1"/>
  <c r="S19" i="15"/>
  <c r="N19" i="15"/>
  <c r="W19" i="15"/>
  <c r="U19" i="15"/>
  <c r="Q19" i="15"/>
  <c r="R19" i="15"/>
  <c r="V19" i="15"/>
  <c r="O19" i="15"/>
  <c r="Y19" i="15"/>
  <c r="X19" i="15"/>
  <c r="M19" i="15"/>
  <c r="T19" i="15"/>
  <c r="Z141" i="19"/>
  <c r="N142" i="19"/>
  <c r="N40" i="19"/>
  <c r="Z39" i="19"/>
  <c r="E37" i="15" l="1"/>
  <c r="N41" i="19"/>
  <c r="Z41" i="19" s="1"/>
  <c r="Z40" i="19"/>
  <c r="L40" i="19" s="1"/>
  <c r="Z142" i="19"/>
  <c r="L142" i="19" s="1"/>
  <c r="N143" i="19"/>
  <c r="Z143" i="19" s="1"/>
  <c r="O144" i="19" l="1"/>
  <c r="O145" i="19" s="1"/>
  <c r="W144" i="19"/>
  <c r="W145" i="19" s="1"/>
  <c r="Z144" i="19"/>
  <c r="Z145" i="19" s="1"/>
  <c r="X144" i="19"/>
  <c r="X145" i="19" s="1"/>
  <c r="P144" i="19"/>
  <c r="P145" i="19" s="1"/>
  <c r="L144" i="19"/>
  <c r="Q144" i="19"/>
  <c r="Q145" i="19" s="1"/>
  <c r="R144" i="19"/>
  <c r="R145" i="19" s="1"/>
  <c r="S144" i="19"/>
  <c r="S145" i="19" s="1"/>
  <c r="T144" i="19"/>
  <c r="T145" i="19" s="1"/>
  <c r="U144" i="19"/>
  <c r="U145" i="19" s="1"/>
  <c r="Y144" i="19"/>
  <c r="Y145" i="19" s="1"/>
  <c r="V144" i="19"/>
  <c r="L143" i="19"/>
  <c r="W42" i="19"/>
  <c r="W43" i="19" s="1"/>
  <c r="Q42" i="19"/>
  <c r="Q43" i="19" s="1"/>
  <c r="Z42" i="19"/>
  <c r="Z43" i="19" s="1"/>
  <c r="L41" i="19"/>
  <c r="V42" i="19"/>
  <c r="X42" i="19"/>
  <c r="X43" i="19" s="1"/>
  <c r="T42" i="19"/>
  <c r="T43" i="19" s="1"/>
  <c r="O42" i="19"/>
  <c r="O43" i="19" s="1"/>
  <c r="S42" i="19"/>
  <c r="S43" i="19" s="1"/>
  <c r="R42" i="19"/>
  <c r="R43" i="19" s="1"/>
  <c r="U42" i="19"/>
  <c r="U43" i="19" s="1"/>
  <c r="L42" i="19"/>
  <c r="Y42" i="19"/>
  <c r="Y43" i="19" s="1"/>
  <c r="P42" i="19"/>
  <c r="P43" i="19" s="1"/>
  <c r="V55" i="19" l="1"/>
  <c r="V43" i="19"/>
  <c r="L43" i="19" s="1"/>
  <c r="V145" i="19"/>
  <c r="L145" i="19" s="1"/>
  <c r="V157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7" authorId="0" shapeId="0" xr:uid="{BE379D41-8C51-41B5-9147-A81258625CCE}">
      <text>
        <r>
          <rPr>
            <b/>
            <sz val="9"/>
            <color indexed="81"/>
            <rFont val="Tahoma"/>
            <family val="2"/>
          </rPr>
          <t xml:space="preserve">Includes: </t>
        </r>
        <r>
          <rPr>
            <sz val="9"/>
            <color indexed="81"/>
            <rFont val="Tahoma"/>
            <family val="2"/>
          </rPr>
          <t>battery constraints and efficiency losses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<sst xmlns="http://schemas.openxmlformats.org/spreadsheetml/2006/main" count="2114" uniqueCount="933">
  <si>
    <t>Part #</t>
  </si>
  <si>
    <t>Brand</t>
  </si>
  <si>
    <t>Qty</t>
  </si>
  <si>
    <t>Victron</t>
  </si>
  <si>
    <t>%</t>
  </si>
  <si>
    <t>Craig Myatt</t>
  </si>
  <si>
    <t>A</t>
  </si>
  <si>
    <t>C</t>
  </si>
  <si>
    <t>F</t>
  </si>
  <si>
    <t>#</t>
  </si>
  <si>
    <t>Comments</t>
  </si>
  <si>
    <t>AH</t>
  </si>
  <si>
    <t>Month</t>
  </si>
  <si>
    <t>Melbourne</t>
  </si>
  <si>
    <t>Canberra</t>
  </si>
  <si>
    <t>Sydney</t>
  </si>
  <si>
    <t>Perth</t>
  </si>
  <si>
    <t>Darwin</t>
  </si>
  <si>
    <t>Brisbane</t>
  </si>
  <si>
    <t>Adelaide</t>
  </si>
  <si>
    <t>Hobart</t>
  </si>
  <si>
    <t>*Peak sunlight hours = daily solar irradiation</t>
  </si>
  <si>
    <t>Element</t>
  </si>
  <si>
    <t>Value</t>
  </si>
  <si>
    <t>Units</t>
  </si>
  <si>
    <t>Units info</t>
  </si>
  <si>
    <t>Number of Solar Panels</t>
  </si>
  <si>
    <t>January</t>
  </si>
  <si>
    <t>February</t>
  </si>
  <si>
    <t>March</t>
  </si>
  <si>
    <t>Maximum Power at STC (Pmax)</t>
  </si>
  <si>
    <t>W</t>
  </si>
  <si>
    <t>April</t>
  </si>
  <si>
    <t>Optimum Operating Voltage (Vmp)</t>
  </si>
  <si>
    <t>V dc</t>
  </si>
  <si>
    <t>May</t>
  </si>
  <si>
    <t>Optimum Operating Current (Imp)</t>
  </si>
  <si>
    <t>Open Circuit Voltage VOC</t>
  </si>
  <si>
    <t>Short Circuit Current (Isc)</t>
  </si>
  <si>
    <t>Module Efficiency</t>
  </si>
  <si>
    <t>Maximum Series Fuse Rating</t>
  </si>
  <si>
    <t>Power Tolerance</t>
  </si>
  <si>
    <t>W +/-</t>
  </si>
  <si>
    <t>Temperature Coefficient of Voc</t>
  </si>
  <si>
    <t>%/°C</t>
  </si>
  <si>
    <t>Length</t>
  </si>
  <si>
    <t>mm</t>
  </si>
  <si>
    <t>Width</t>
  </si>
  <si>
    <t>Thickness</t>
  </si>
  <si>
    <t>Weight</t>
  </si>
  <si>
    <t>kg</t>
  </si>
  <si>
    <t>Number of Panels/String</t>
  </si>
  <si>
    <t>Number of Strings</t>
  </si>
  <si>
    <t>String VOC</t>
  </si>
  <si>
    <t>June</t>
  </si>
  <si>
    <t>Array Power</t>
  </si>
  <si>
    <t>July</t>
  </si>
  <si>
    <t>String O/Current Protection?</t>
  </si>
  <si>
    <t>((Sa-1)xIscmod) &gt; Imodmax ocpr</t>
  </si>
  <si>
    <t>August</t>
  </si>
  <si>
    <t>String Fuse Min</t>
  </si>
  <si>
    <t>In &gt; 1.5 x Isc mod</t>
  </si>
  <si>
    <t>September</t>
  </si>
  <si>
    <t>String Fuse Max</t>
  </si>
  <si>
    <t>In &lt; 2.4 x Isc mod</t>
  </si>
  <si>
    <t>October</t>
  </si>
  <si>
    <t>Fuse Size</t>
  </si>
  <si>
    <t>November</t>
  </si>
  <si>
    <t>Years</t>
  </si>
  <si>
    <t>December</t>
  </si>
  <si>
    <t>Average</t>
  </si>
  <si>
    <t>Total annual solar irradiation* (kWh/m2/year)</t>
  </si>
  <si>
    <t>KW</t>
  </si>
  <si>
    <t>KWh/day</t>
  </si>
  <si>
    <t>Max KW</t>
  </si>
  <si>
    <t xml:space="preserve">KW </t>
  </si>
  <si>
    <t>V</t>
  </si>
  <si>
    <t>mm2</t>
  </si>
  <si>
    <t>Voltage</t>
  </si>
  <si>
    <t>Target Max Voltage drop</t>
  </si>
  <si>
    <t>Distance of Wire Run</t>
  </si>
  <si>
    <t>m</t>
  </si>
  <si>
    <t>Peak Supply Current</t>
  </si>
  <si>
    <t>Resistance</t>
  </si>
  <si>
    <t>Ohms</t>
  </si>
  <si>
    <t>Cable Area</t>
  </si>
  <si>
    <t>m2</t>
  </si>
  <si>
    <t>Voltage Drop-V</t>
  </si>
  <si>
    <t>Voltage Drop-%</t>
  </si>
  <si>
    <t>DegC</t>
  </si>
  <si>
    <t>(* From Chrisensen battery handout)</t>
  </si>
  <si>
    <t>WW Calculator (Bambach)</t>
  </si>
  <si>
    <t>6B&amp;S</t>
  </si>
  <si>
    <t>4B&amp;S</t>
  </si>
  <si>
    <t>3B&amp;S (26.45mm)</t>
  </si>
  <si>
    <t>http://wirewizard.bambachcables.com.au/</t>
  </si>
  <si>
    <t>Current</t>
  </si>
  <si>
    <t>1B&amp;S</t>
  </si>
  <si>
    <t>25mm Current carrying cap = 124A, 75DegC single, 151A, 90DegC single</t>
  </si>
  <si>
    <t>0B&amp;S (49mm)</t>
  </si>
  <si>
    <t>Auto Size</t>
  </si>
  <si>
    <t>Yes/No</t>
  </si>
  <si>
    <t>AS5033-2014 3.3.4</t>
  </si>
  <si>
    <t>AS5033-2014 3.3.5</t>
  </si>
  <si>
    <t>Imodmax ocpr</t>
  </si>
  <si>
    <t>AS5033-2014 1.4</t>
  </si>
  <si>
    <t>MCB 350V min DC rated (Noark)</t>
  </si>
  <si>
    <t>Solar</t>
  </si>
  <si>
    <t>Solar Controller</t>
  </si>
  <si>
    <t>Solar Controller Max PV</t>
  </si>
  <si>
    <t>MPPT</t>
  </si>
  <si>
    <t>(See VE-MPPT Calc Spreadsheet for calcs)</t>
  </si>
  <si>
    <t>Battery</t>
  </si>
  <si>
    <t>Number of Batteries</t>
  </si>
  <si>
    <t>KWh</t>
  </si>
  <si>
    <t>Max. Output</t>
  </si>
  <si>
    <t>Max. Voltage</t>
  </si>
  <si>
    <t>Vdc</t>
  </si>
  <si>
    <t>Max DOD</t>
  </si>
  <si>
    <t>Nom. Output</t>
  </si>
  <si>
    <t>Peak. Output</t>
  </si>
  <si>
    <t>Nominal Voltage</t>
  </si>
  <si>
    <t>15sec</t>
  </si>
  <si>
    <t>Life Cycles</t>
  </si>
  <si>
    <t>Cycles</t>
  </si>
  <si>
    <t>@25degC</t>
  </si>
  <si>
    <t>End of life</t>
  </si>
  <si>
    <t>Energy</t>
  </si>
  <si>
    <t>Fault</t>
  </si>
  <si>
    <t>*current carrying capacity (bundle x 3/conduit)</t>
  </si>
  <si>
    <t xml:space="preserve">OD </t>
  </si>
  <si>
    <t>8.3mm</t>
  </si>
  <si>
    <t>Wire Size</t>
  </si>
  <si>
    <t>Capacity A</t>
  </si>
  <si>
    <t>(Note Special Design Separation, over 20KA)</t>
  </si>
  <si>
    <t>Inverter</t>
  </si>
  <si>
    <t>Nominal Output</t>
  </si>
  <si>
    <t>VA</t>
  </si>
  <si>
    <t>Efficiency</t>
  </si>
  <si>
    <t>Ah</t>
  </si>
  <si>
    <t>Yes</t>
  </si>
  <si>
    <t>days</t>
  </si>
  <si>
    <t>www.ecocool.com.au</t>
  </si>
  <si>
    <t>info@ecocool.com.au</t>
  </si>
  <si>
    <t>Estimated usage KWh/day</t>
  </si>
  <si>
    <t>Occupancy cycle</t>
  </si>
  <si>
    <t>days/wk</t>
  </si>
  <si>
    <t>Max Solar - Summer</t>
  </si>
  <si>
    <t>Min Solar - Winter</t>
  </si>
  <si>
    <t>Max Energy Production</t>
  </si>
  <si>
    <t>Min Energy Production</t>
  </si>
  <si>
    <t>3 days Energy Use</t>
  </si>
  <si>
    <t>PSH</t>
  </si>
  <si>
    <t>Module Nominal Capacity</t>
  </si>
  <si>
    <t>Maximum Power draw, instantaneous</t>
  </si>
  <si>
    <t>y</t>
  </si>
  <si>
    <t>Test Temp @ STC</t>
  </si>
  <si>
    <t>PV Array Max. Volts</t>
  </si>
  <si>
    <t>Voc+y(Tmin-Tstc)M</t>
  </si>
  <si>
    <t>Panel fouling factor</t>
  </si>
  <si>
    <t>Trina</t>
  </si>
  <si>
    <t>Strings</t>
  </si>
  <si>
    <t>Module AH (20hr)</t>
  </si>
  <si>
    <t>Modules/string</t>
  </si>
  <si>
    <t>Type</t>
  </si>
  <si>
    <t>DOD</t>
  </si>
  <si>
    <t>Module Nominal Voltage</t>
  </si>
  <si>
    <t>Bank Nominal voltage</t>
  </si>
  <si>
    <t>Nominal DOD</t>
  </si>
  <si>
    <t>BankUsable Capacity</t>
  </si>
  <si>
    <t>Bank Ah Capacity</t>
  </si>
  <si>
    <t>Bank Full Capacity</t>
  </si>
  <si>
    <t>AGM FC Factor</t>
  </si>
  <si>
    <t>Battery Bank Fault Current</t>
  </si>
  <si>
    <t>Per AS5033: 2014</t>
  </si>
  <si>
    <t>Per AS2676.2: 1992</t>
  </si>
  <si>
    <t>Per AS4509.2: 2010</t>
  </si>
  <si>
    <t>ecoCool Pty Ltd</t>
  </si>
  <si>
    <t>Rev 0</t>
  </si>
  <si>
    <t>Battery String Fault Current</t>
  </si>
  <si>
    <t>Installation Details</t>
  </si>
  <si>
    <t>Azimuth</t>
  </si>
  <si>
    <t>Tilt</t>
  </si>
  <si>
    <t>System Size</t>
  </si>
  <si>
    <t>Panels</t>
  </si>
  <si>
    <t>Soiling derated %age</t>
  </si>
  <si>
    <t>Estimated Performance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</si>
  <si>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</si>
  <si>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</si>
  <si>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</si>
  <si>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</si>
  <si>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</si>
  <si>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</si>
  <si>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</si>
  <si>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</si>
  <si>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</si>
  <si>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</si>
  <si>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</si>
  <si>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Ave</t>
  </si>
  <si>
    <t>Estimated Daily KWh production</t>
  </si>
  <si>
    <t>Percentage of full sun</t>
  </si>
  <si>
    <t>Est Daily KWh production, shading+derating</t>
  </si>
  <si>
    <t>Current Bill / month</t>
  </si>
  <si>
    <t>Daily charge</t>
  </si>
  <si>
    <t>FIT rate</t>
  </si>
  <si>
    <t>$ per KWh rate/s</t>
  </si>
  <si>
    <t>Daily Cost of Power - without system</t>
  </si>
  <si>
    <t>Daily Cost of Power - with system</t>
  </si>
  <si>
    <t>Daily Feed-in Returned</t>
  </si>
  <si>
    <t>Daily net $ (+pay -paid)</t>
  </si>
  <si>
    <t>Monthly net $</t>
  </si>
  <si>
    <t>$pay</t>
  </si>
  <si>
    <t>Savings</t>
  </si>
  <si>
    <t>$Savings</t>
  </si>
  <si>
    <t>NPV of system</t>
  </si>
  <si>
    <t>Payback period</t>
  </si>
  <si>
    <t>total System price:</t>
  </si>
  <si>
    <t>Location (from tables)</t>
  </si>
  <si>
    <t>Solar panel roof tilt from 0</t>
  </si>
  <si>
    <t>Solar aspect (azimuth)</t>
  </si>
  <si>
    <t>7.2 CANBERRA</t>
  </si>
  <si>
    <t>Plane Azimuth (degrees)</t>
  </si>
  <si>
    <t>Plane Inclination (degrees)</t>
  </si>
  <si>
    <t>7.1 BRISBANE</t>
  </si>
  <si>
    <t>7.3 DARWIN</t>
  </si>
  <si>
    <t>7.4 HOBART</t>
  </si>
  <si>
    <t>7.5 SYDNEY</t>
  </si>
  <si>
    <t>7.6 MELBOURNE</t>
  </si>
  <si>
    <t>7.7 ADELAIDE</t>
  </si>
  <si>
    <t>7.8 ALICE SPRINGS</t>
  </si>
  <si>
    <t>7.9 PERTH</t>
  </si>
  <si>
    <t>7.10 CAIRNS</t>
  </si>
  <si>
    <t>CEC GC Design guidelines Issue 5.1 January, 2012</t>
  </si>
  <si>
    <t>Cairns</t>
  </si>
  <si>
    <t>AGM</t>
  </si>
  <si>
    <t>Solar isolator, cables, joiners</t>
  </si>
  <si>
    <t>Battery Cables, Lugs, Fuses</t>
  </si>
  <si>
    <t>Revision:</t>
  </si>
  <si>
    <t>Battery Size</t>
  </si>
  <si>
    <t>KWh/Mon</t>
  </si>
  <si>
    <t>Total Daily usage (KWh)</t>
  </si>
  <si>
    <t>Average Usage during Day (KWh)</t>
  </si>
  <si>
    <t>Average Usage during night (KWh)</t>
  </si>
  <si>
    <t>Solar Index</t>
  </si>
  <si>
    <t>Night</t>
  </si>
  <si>
    <t>$ per KWh rate/s DAY</t>
  </si>
  <si>
    <t>$ per KWh rate/s NIGHT</t>
  </si>
  <si>
    <t>Off Grid?</t>
  </si>
  <si>
    <t>Battery?</t>
  </si>
  <si>
    <t>Daily Feed-in Ret</t>
  </si>
  <si>
    <t>Ave /mo</t>
  </si>
  <si>
    <t>12 yrs</t>
  </si>
  <si>
    <t>Int.rate</t>
  </si>
  <si>
    <t>Year from Installation &gt;&gt;&gt;&gt;</t>
  </si>
  <si>
    <t>days/mo</t>
  </si>
  <si>
    <t>w/Batt</t>
  </si>
  <si>
    <t>Grid Use-night KWh (GR.N)</t>
  </si>
  <si>
    <t>Battery Discharge Night KWh (BD)</t>
  </si>
  <si>
    <t>Battery Recharge Day KWh (BR)</t>
  </si>
  <si>
    <t>Grid Use-day KWh (GR.D)</t>
  </si>
  <si>
    <t>Feed-In Day (FI) KWh</t>
  </si>
  <si>
    <t>Add Grid-use night*</t>
  </si>
  <si>
    <t>Total KWh usage</t>
  </si>
  <si>
    <t>Grid use day w/o Batt later</t>
  </si>
  <si>
    <t>per day</t>
  </si>
  <si>
    <t>Rate per KWh</t>
  </si>
  <si>
    <t>per KWh</t>
  </si>
  <si>
    <t xml:space="preserve">Seniors discount: </t>
  </si>
  <si>
    <t>per yr</t>
  </si>
  <si>
    <t>Days of Bill</t>
  </si>
  <si>
    <t>Usage charge</t>
  </si>
  <si>
    <t>Commercial Rates (energy Aus)</t>
  </si>
  <si>
    <t>Batt Effic.</t>
  </si>
  <si>
    <t>Supply charge</t>
  </si>
  <si>
    <t>General discount</t>
  </si>
  <si>
    <t>Peak</t>
  </si>
  <si>
    <t>Discounted Daily usage rate</t>
  </si>
  <si>
    <t>Shoulder</t>
  </si>
  <si>
    <t>CN</t>
  </si>
  <si>
    <t>#1 Discount</t>
  </si>
  <si>
    <t>Commercial Daily usage rate</t>
  </si>
  <si>
    <t>Off-peak</t>
  </si>
  <si>
    <t>Day Rate KWh (pro rataed)</t>
  </si>
  <si>
    <t>Night Rate KWh (pro rataed)</t>
  </si>
  <si>
    <t>LD</t>
  </si>
  <si>
    <t>Loads-day</t>
  </si>
  <si>
    <t>7a-5pm</t>
  </si>
  <si>
    <t>Peak KWh rate</t>
  </si>
  <si>
    <t>LN</t>
  </si>
  <si>
    <t>Loads-night</t>
  </si>
  <si>
    <t>5p-7am</t>
  </si>
  <si>
    <t>Total Bill</t>
  </si>
  <si>
    <t>Shoulder KWh rate</t>
  </si>
  <si>
    <t>Off-Peak KWh rate</t>
  </si>
  <si>
    <t>KWh $ - Day</t>
  </si>
  <si>
    <t>KWh $ - Night</t>
  </si>
  <si>
    <t>Energy Australia Commercial Rates, 2020</t>
  </si>
  <si>
    <t>(Pro-rataed, based on set day/nigth hours, see CalcsA sheet)</t>
  </si>
  <si>
    <t>Cost of power no system:</t>
  </si>
  <si>
    <t>B</t>
  </si>
  <si>
    <t>D</t>
  </si>
  <si>
    <t>E</t>
  </si>
  <si>
    <t>Daily Power Use:</t>
  </si>
  <si>
    <t>KWh you will use per day</t>
  </si>
  <si>
    <t>Inverter Output:</t>
  </si>
  <si>
    <t>KW in output, eg 4KW</t>
  </si>
  <si>
    <t>Size of battery, KWh</t>
  </si>
  <si>
    <t>Size of generator, KVA</t>
  </si>
  <si>
    <t>Battery Type/chemistry</t>
  </si>
  <si>
    <t>Generator Size:</t>
  </si>
  <si>
    <t>People in Household:</t>
  </si>
  <si>
    <t>Planned power use per day:</t>
  </si>
  <si>
    <t>Location:</t>
  </si>
  <si>
    <t>Voc max</t>
  </si>
  <si>
    <t>Voc min</t>
  </si>
  <si>
    <t>Vmpp min</t>
  </si>
  <si>
    <t>System Voltage</t>
  </si>
  <si>
    <t>Ibat max</t>
  </si>
  <si>
    <t>Efficiency@12</t>
  </si>
  <si>
    <t>Efficiency@24</t>
  </si>
  <si>
    <t>Efficiency@36</t>
  </si>
  <si>
    <t>Efficiency@48</t>
  </si>
  <si>
    <t>Blue-/ SmartSolar MPPT 75/10</t>
  </si>
  <si>
    <t>N.A.</t>
  </si>
  <si>
    <t>Blue-/ SmartSolar MPPT 75/15</t>
  </si>
  <si>
    <t>Blue-/ SmartSolar MPPT 100/15</t>
  </si>
  <si>
    <t>Smart Solar MPPT 100/20</t>
  </si>
  <si>
    <t>Smart Solar MPPT 100/20 48V</t>
  </si>
  <si>
    <t>Blue-/ SmartSolar MPPT 100/30</t>
  </si>
  <si>
    <t>Blue-/ SmartSolar MPPT 100/50</t>
  </si>
  <si>
    <t>Blue-/ SmartSolar MPPT 150/35</t>
  </si>
  <si>
    <t>Blue-/ SmartSolar MPPT 150/45 Tr/MC4</t>
  </si>
  <si>
    <t>Blue-/ SmartSolar MPPT 150/60 Tr/MC4</t>
  </si>
  <si>
    <t>Blue-/ SmartSolar MPPT 150/70 Tr/Tr VE.Can/MC4</t>
  </si>
  <si>
    <t>SmartSolar MPPT 150/85 Tr/MC4</t>
  </si>
  <si>
    <t>SmartSolar MPPT 150/100 Tr/Tr VE.Can/MC4</t>
  </si>
  <si>
    <t>SmartSolar MPPT 250/60 Tr/MC4</t>
  </si>
  <si>
    <t>SmartSolar MPPT 250/70 Tr/Tr VE.Can/MC4</t>
  </si>
  <si>
    <t>SmartSolar MPPT 250/85 Tr/MC4</t>
  </si>
  <si>
    <t>SmartSolar MPPT 250/100 Tr/Tr VE.Can/MC4</t>
  </si>
  <si>
    <t>Pwr @ 12V</t>
  </si>
  <si>
    <t>Pwr @ 24V</t>
  </si>
  <si>
    <t>Pwr @ 36V</t>
  </si>
  <si>
    <t>Pwr @ 48V</t>
  </si>
  <si>
    <t>V temp coeff</t>
  </si>
  <si>
    <t>I temp coeff</t>
  </si>
  <si>
    <t>Manuf'r</t>
  </si>
  <si>
    <t>Part#</t>
  </si>
  <si>
    <t>Power W</t>
  </si>
  <si>
    <t>Vmpp V</t>
  </si>
  <si>
    <t>Impp A</t>
  </si>
  <si>
    <t>Voc V</t>
  </si>
  <si>
    <t>Isc A</t>
  </si>
  <si>
    <t>Effic. %</t>
  </si>
  <si>
    <t>Fuse A</t>
  </si>
  <si>
    <t>Pwr +/-.W</t>
  </si>
  <si>
    <t>Wgt kg</t>
  </si>
  <si>
    <t>Width.mm</t>
  </si>
  <si>
    <t>Power KVA</t>
  </si>
  <si>
    <t>Chrg A</t>
  </si>
  <si>
    <t>Z.Load.W</t>
  </si>
  <si>
    <t>AES W</t>
  </si>
  <si>
    <t>Search W</t>
  </si>
  <si>
    <t>Rem On</t>
  </si>
  <si>
    <t>Wt kg</t>
  </si>
  <si>
    <t>Depth</t>
  </si>
  <si>
    <t>Grid Rdy</t>
  </si>
  <si>
    <t>Max Inp A</t>
  </si>
  <si>
    <t>Victron AGM Supercycle 170Ah</t>
  </si>
  <si>
    <t>Ah C20</t>
  </si>
  <si>
    <t>Ah C5</t>
  </si>
  <si>
    <t>Ah C10</t>
  </si>
  <si>
    <t>Terminals</t>
  </si>
  <si>
    <t>M8</t>
  </si>
  <si>
    <t>Cycles @30%</t>
  </si>
  <si>
    <t>Cycles @50%</t>
  </si>
  <si>
    <t>Cycles @100%</t>
  </si>
  <si>
    <t>Height</t>
  </si>
  <si>
    <t>Victron AGM Supercycle 60Ah</t>
  </si>
  <si>
    <t>Victron AGM Supercycle 100Ah</t>
  </si>
  <si>
    <t>Victron AGM Supercycle 230Ah</t>
  </si>
  <si>
    <t>Power KW</t>
  </si>
  <si>
    <t>G</t>
  </si>
  <si>
    <t>H</t>
  </si>
  <si>
    <t>Current or planned Generator</t>
  </si>
  <si>
    <t>Notes</t>
  </si>
  <si>
    <t>Optional, guide to battery size 1KWh=21Ah</t>
  </si>
  <si>
    <t>Panel #</t>
  </si>
  <si>
    <t>Panel W</t>
  </si>
  <si>
    <t>Panels/St</t>
  </si>
  <si>
    <t>Array W</t>
  </si>
  <si>
    <t>STC C</t>
  </si>
  <si>
    <t>Mono</t>
  </si>
  <si>
    <t>Type2</t>
  </si>
  <si>
    <t>PERC</t>
  </si>
  <si>
    <t>Strg VOC</t>
  </si>
  <si>
    <t>Array size selected:</t>
  </si>
  <si>
    <t>Module#</t>
  </si>
  <si>
    <t>M5</t>
  </si>
  <si>
    <t>Batt Ah</t>
  </si>
  <si>
    <t>Mods/St</t>
  </si>
  <si>
    <t>String V</t>
  </si>
  <si>
    <t>Mod V</t>
  </si>
  <si>
    <t>Bank AH</t>
  </si>
  <si>
    <t>Inverter_Chargers</t>
  </si>
  <si>
    <t>Battery_Modules</t>
  </si>
  <si>
    <t>Solar_Controllers</t>
  </si>
  <si>
    <t>Solar_Panels</t>
  </si>
  <si>
    <t>Battery_Banks</t>
  </si>
  <si>
    <t>Solar_Arrays</t>
  </si>
  <si>
    <t>Min PSH for location</t>
  </si>
  <si>
    <t>Battry Bank Size Selected:</t>
  </si>
  <si>
    <t>Mod Type</t>
  </si>
  <si>
    <t>Max V</t>
  </si>
  <si>
    <t>Max C</t>
  </si>
  <si>
    <t>Nom C</t>
  </si>
  <si>
    <t>Fault A</t>
  </si>
  <si>
    <t>Min. Cable Size to fuse</t>
  </si>
  <si>
    <t>Inverter Size Selected:</t>
  </si>
  <si>
    <t>MultiplusII 48/3000/35</t>
  </si>
  <si>
    <t>MultiplusII 48/5000/70</t>
  </si>
  <si>
    <t>Quattro 48/8000/100</t>
  </si>
  <si>
    <t xml:space="preserve">V </t>
  </si>
  <si>
    <t>Pmax KW</t>
  </si>
  <si>
    <t>Instantaneous power needed, for a appliances.</t>
  </si>
  <si>
    <t>Nom. Inverter Output Power needed:</t>
  </si>
  <si>
    <t>See Datasheet</t>
  </si>
  <si>
    <t>Volts DC</t>
  </si>
  <si>
    <t>Maximum output, usually for short time</t>
  </si>
  <si>
    <t>Nominal output, sustainable over time.</t>
  </si>
  <si>
    <t>0.96 = 95% efficient</t>
  </si>
  <si>
    <t>(See disclaimer)</t>
  </si>
  <si>
    <t xml:space="preserve">Days of 3day Battery capacity needed </t>
  </si>
  <si>
    <t>Generator Use Profile:</t>
  </si>
  <si>
    <t>Use</t>
  </si>
  <si>
    <t>Cities: Northern cities have higher solar generation than Southern cities</t>
  </si>
  <si>
    <t>Solar: Solar Array Size should be large enough to provide Solar output greater than daily power use</t>
  </si>
  <si>
    <t>Generator Use: &lt;1.5days Batt.storage = Frequent;  1.5-2.5=Occasional;  2.5&gt; = Rare Use</t>
  </si>
  <si>
    <t>Usable Battery Capacity:</t>
  </si>
  <si>
    <t>Control Victron Temperature sensor for BMV-702/712</t>
  </si>
  <si>
    <t>W Solar Panel size</t>
  </si>
  <si>
    <t>Daily Power: use should be lower than winter Solar Array output</t>
  </si>
  <si>
    <t>Flexibility: in daily power use, will allow you to use a smaller Battery Bank, and/or less Generator use</t>
  </si>
  <si>
    <t>People: Increasing the people in the household usually increases power use</t>
  </si>
  <si>
    <t>Inverter Power: should be greater than largest appliance power rating</t>
  </si>
  <si>
    <t>Battery Capacity: should cover 3 days power use, or generator will be used more</t>
  </si>
  <si>
    <t>Shading/Efficiency/Soiling</t>
  </si>
  <si>
    <t>Location Multiplier</t>
  </si>
  <si>
    <t>SC Qty</t>
  </si>
  <si>
    <t>Pnl Qty</t>
  </si>
  <si>
    <t>ET-P660255BB</t>
  </si>
  <si>
    <t>ET Solar</t>
  </si>
  <si>
    <t>Selectronic SP Pro 7.5KW</t>
  </si>
  <si>
    <t>Selectronic</t>
  </si>
  <si>
    <t>Gel</t>
  </si>
  <si>
    <t>%age from 1st Location, to second</t>
  </si>
  <si>
    <t>Loc. Mult:</t>
  </si>
  <si>
    <t>Solar Tables lookups</t>
  </si>
  <si>
    <t>Location-Main</t>
  </si>
  <si>
    <t>City1</t>
  </si>
  <si>
    <t>City2</t>
  </si>
  <si>
    <t>Generic Solar Table</t>
  </si>
  <si>
    <t>Alice Springs</t>
  </si>
  <si>
    <t>C69:M104</t>
  </si>
  <si>
    <t>VLOOKUP(L9, INDIRECT("'Solar-tables'!"&amp;VLOOKUP(J13, 'Solar-tables'!R6:S17, 2, FALSE)), (ROUND(L10, 10)/10+2), FALSE)</t>
  </si>
  <si>
    <t>C110:M145</t>
  </si>
  <si>
    <t>Indirect "formula here"</t>
  </si>
  <si>
    <t>C151:M186</t>
  </si>
  <si>
    <t>B-Month</t>
  </si>
  <si>
    <t>C192:M227</t>
  </si>
  <si>
    <t>C233:M268</t>
  </si>
  <si>
    <t>C274:M309</t>
  </si>
  <si>
    <t>C315:M350</t>
  </si>
  <si>
    <t>C356:M391</t>
  </si>
  <si>
    <t>C397:M432</t>
  </si>
  <si>
    <t>A-Detailed Solar Table, Loc.</t>
  </si>
  <si>
    <t>ANNUAL DAILY IRRADIATION ON AN INCLINED PLANE EXPRESSED AS % OF MAXIMUM VALUE</t>
  </si>
  <si>
    <t>BRISBANE</t>
  </si>
  <si>
    <t xml:space="preserve">CAIRNS </t>
  </si>
  <si>
    <t>Your Location, PSH data, AF23:AR34</t>
  </si>
  <si>
    <t>Efficiency derating</t>
  </si>
  <si>
    <t>For Peak Sun Hours (PSH) for your location, to go http://www.bom.gov.au/climate/data/</t>
  </si>
  <si>
    <t>Get: Daily global solar exposure, in KWH m-2 (Use "mean" for all years)</t>
  </si>
  <si>
    <t>Time</t>
  </si>
  <si>
    <t>% of total</t>
  </si>
  <si>
    <t>kWh</t>
  </si>
  <si>
    <t>Total</t>
  </si>
  <si>
    <t>Cooking</t>
  </si>
  <si>
    <t>Lighting</t>
  </si>
  <si>
    <t>Load profile</t>
  </si>
  <si>
    <t>M10</t>
  </si>
  <si>
    <t>3 days Energy Use min.</t>
  </si>
  <si>
    <t>Estimated usage KWh/day MIN.</t>
  </si>
  <si>
    <t>Days Max</t>
  </si>
  <si>
    <t>Days:</t>
  </si>
  <si>
    <t>CANBERRA</t>
  </si>
  <si>
    <t>DARWIN</t>
  </si>
  <si>
    <t>https://www.yourhome.gov.au/passive-design</t>
  </si>
  <si>
    <t>Tips</t>
  </si>
  <si>
    <t>HOBART</t>
  </si>
  <si>
    <t>MELBOURNE</t>
  </si>
  <si>
    <t>ADELAIDE</t>
  </si>
  <si>
    <t>PERTH</t>
  </si>
  <si>
    <t>Source: BOM 2020</t>
  </si>
  <si>
    <t>Add your own solar data, Calcs Worksheet, for your location: http://www.bom.gov.au/climate/data/</t>
  </si>
  <si>
    <t>12am</t>
  </si>
  <si>
    <t>1am</t>
  </si>
  <si>
    <t>2am</t>
  </si>
  <si>
    <t>3am</t>
  </si>
  <si>
    <t>4am</t>
  </si>
  <si>
    <t xml:space="preserve">5am </t>
  </si>
  <si>
    <t>6am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</si>
  <si>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</si>
  <si>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</si>
  <si>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</si>
  <si>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</si>
  <si>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</si>
  <si>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</si>
  <si>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</si>
  <si>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</si>
  <si>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</si>
  <si>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</si>
  <si>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</si>
  <si>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</si>
  <si>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</si>
  <si>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</si>
  <si>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9pm</t>
  </si>
  <si>
    <t>10pm</t>
  </si>
  <si>
    <t>11pm</t>
  </si>
  <si>
    <t>Seraphim 400W Mono PERC</t>
  </si>
  <si>
    <t>Seraphim</t>
  </si>
  <si>
    <t>sRP-400-BMA-HV</t>
  </si>
  <si>
    <t>Seraphim 3300W Mono PERC</t>
  </si>
  <si>
    <t>M6</t>
  </si>
  <si>
    <t>TV</t>
  </si>
  <si>
    <t>TV-LED</t>
  </si>
  <si>
    <t>KWh/yr</t>
  </si>
  <si>
    <t>DutyCyc.</t>
  </si>
  <si>
    <t>KWh/d</t>
  </si>
  <si>
    <t>KWh/hr</t>
  </si>
  <si>
    <t>Start.Pk</t>
  </si>
  <si>
    <t>Startup.X</t>
  </si>
  <si>
    <t>Comment</t>
  </si>
  <si>
    <t>Equipment Ratings</t>
  </si>
  <si>
    <t>Washing Machine</t>
  </si>
  <si>
    <t>Phone charger x 2</t>
  </si>
  <si>
    <t>Kitchen appliance</t>
  </si>
  <si>
    <t>Day</t>
  </si>
  <si>
    <t xml:space="preserve">Notes: </t>
  </si>
  <si>
    <t>Battery Effic.</t>
  </si>
  <si>
    <t>Option 1</t>
  </si>
  <si>
    <t>Very small consum., 1.5KW Surge</t>
  </si>
  <si>
    <t>Job#</t>
  </si>
  <si>
    <t>Address:</t>
  </si>
  <si>
    <t>Surlok</t>
  </si>
  <si>
    <t>Lithium</t>
  </si>
  <si>
    <t>Computer</t>
  </si>
  <si>
    <t>Lights, LED</t>
  </si>
  <si>
    <t>450W all lights on</t>
  </si>
  <si>
    <t>System Self power</t>
  </si>
  <si>
    <t>Max Load:</t>
  </si>
  <si>
    <t>Nom. Pwr:</t>
  </si>
  <si>
    <t>130% over:</t>
  </si>
  <si>
    <t>30 mins.</t>
  </si>
  <si>
    <t>150% over:</t>
  </si>
  <si>
    <t>5 sec.</t>
  </si>
  <si>
    <t xml:space="preserve">Peak: </t>
  </si>
  <si>
    <t>0.5 sec.</t>
  </si>
  <si>
    <t xml:space="preserve">190W Mono </t>
  </si>
  <si>
    <t>Suntech</t>
  </si>
  <si>
    <t>STP 190W</t>
  </si>
  <si>
    <t>Powerplus eco 4.0KWh Lithium</t>
  </si>
  <si>
    <t>Powerplus LiFe 3.3KWh Lithium</t>
  </si>
  <si>
    <t>Fridge/Fr</t>
  </si>
  <si>
    <t xml:space="preserve">Fusion 2V AGM 700Ah </t>
  </si>
  <si>
    <t>MultiplusII 48/3000/35 x 3</t>
  </si>
  <si>
    <t>Solar Array Summer Output:</t>
  </si>
  <si>
    <t>Winter min</t>
  </si>
  <si>
    <t>MultiplusII 48/5000/70 x 3</t>
  </si>
  <si>
    <t>Victron Lead Carbon 160Ah</t>
  </si>
  <si>
    <t>Chemistry</t>
  </si>
  <si>
    <t>Carbon.AGM</t>
  </si>
  <si>
    <t>No</t>
  </si>
  <si>
    <t>Powerhouse Lead-Carbon 120Ah</t>
  </si>
  <si>
    <t>Powerhouse Lead-Carbon 200Ah</t>
  </si>
  <si>
    <t>MultiplusII 48/10000/100</t>
  </si>
  <si>
    <t>GNB 676Ah Gel</t>
  </si>
  <si>
    <t>KWH</t>
  </si>
  <si>
    <t>Solar array total output, KWh</t>
  </si>
  <si>
    <t>KW Solar Array</t>
  </si>
  <si>
    <t xml:space="preserve">KWh Battery </t>
  </si>
  <si>
    <t>KW+ Inverter</t>
  </si>
  <si>
    <t>System Specification</t>
  </si>
  <si>
    <t>Battery monitor BMV 702 - Bluetooth Victron</t>
  </si>
  <si>
    <t>DC Bus Enclosure</t>
  </si>
  <si>
    <t>E30 Energy Controller/Dashboard</t>
  </si>
  <si>
    <t>TSM-390DE09.05</t>
  </si>
  <si>
    <t>GNB 1200Ah Gel</t>
  </si>
  <si>
    <t>PVC 90C</t>
  </si>
  <si>
    <t>Rubber 110C</t>
  </si>
  <si>
    <t>Gauge Guide</t>
  </si>
  <si>
    <t>Nom Area mm2</t>
  </si>
  <si>
    <t>Nom O.D.mm</t>
  </si>
  <si>
    <t>Amp Rating</t>
  </si>
  <si>
    <t>Part # Prefix</t>
  </si>
  <si>
    <t>8 B&amp;S</t>
  </si>
  <si>
    <t>C8</t>
  </si>
  <si>
    <t>6 B&amp;S</t>
  </si>
  <si>
    <t>C6</t>
  </si>
  <si>
    <t>4 B&amp;S</t>
  </si>
  <si>
    <t>C4</t>
  </si>
  <si>
    <t>3 B&amp;S</t>
  </si>
  <si>
    <t>C3</t>
  </si>
  <si>
    <t>2 B&amp;S</t>
  </si>
  <si>
    <t>C2</t>
  </si>
  <si>
    <t>1 B&amp;S</t>
  </si>
  <si>
    <t>C1</t>
  </si>
  <si>
    <t>0 B&amp;S</t>
  </si>
  <si>
    <t>C0</t>
  </si>
  <si>
    <t>AS5033-2014  4.2</t>
  </si>
  <si>
    <t>Fronius Primo 5KW Inverter</t>
  </si>
  <si>
    <t>Fronius</t>
  </si>
  <si>
    <t>Fronius Primo 6KW Inverter</t>
  </si>
  <si>
    <t xml:space="preserve">Nom.@25C* </t>
  </si>
  <si>
    <t>Nom.Load</t>
  </si>
  <si>
    <t>Load+30%</t>
  </si>
  <si>
    <t>Load+50%</t>
  </si>
  <si>
    <t>Load.Peak</t>
  </si>
  <si>
    <t>Peak Load Calculations</t>
  </si>
  <si>
    <t>Daytime Peak:</t>
  </si>
  <si>
    <t>Sunny Island 8.0H</t>
  </si>
  <si>
    <t>SMA</t>
  </si>
  <si>
    <t>Orig</t>
  </si>
  <si>
    <t>Sunpower</t>
  </si>
  <si>
    <t>TSM-250PC05A</t>
  </si>
  <si>
    <t>P3-410-COM-1500</t>
  </si>
  <si>
    <t>Array2</t>
  </si>
  <si>
    <t>Array1</t>
  </si>
  <si>
    <t>Ceiling Fans</t>
  </si>
  <si>
    <t>System &amp; Comp</t>
  </si>
  <si>
    <t>GenZ 3KWh Lithium Module</t>
  </si>
  <si>
    <t>Anderson</t>
  </si>
  <si>
    <t>TSM-DE09.08</t>
  </si>
  <si>
    <t>SmartSolar MPPT 450/200 Tr</t>
  </si>
  <si>
    <t>Fridge500L</t>
  </si>
  <si>
    <t>Freezer280L</t>
  </si>
  <si>
    <t>eg Westinghouse 280L</t>
  </si>
  <si>
    <t>Router</t>
  </si>
  <si>
    <t>30W approx/constant</t>
  </si>
  <si>
    <t>Air Con x 5 units</t>
  </si>
  <si>
    <t>eg. Microwave</t>
  </si>
  <si>
    <t>Air Con Winter</t>
  </si>
  <si>
    <t>Appli-ances</t>
  </si>
  <si>
    <t>Inverter Effic.</t>
  </si>
  <si>
    <t>Total Effic.</t>
  </si>
  <si>
    <t>KWh Daytime use</t>
  </si>
  <si>
    <t>KWh Night use</t>
  </si>
  <si>
    <t>Array 1+2</t>
  </si>
  <si>
    <t>Est Daily KWh production, Array1+2</t>
  </si>
  <si>
    <t>Array 2</t>
  </si>
  <si>
    <t>Max T. C</t>
  </si>
  <si>
    <t>Min T. C</t>
  </si>
  <si>
    <t>Pool Pump</t>
  </si>
  <si>
    <t>1HP, 1.5HP = 1.65KW</t>
  </si>
  <si>
    <t>30-40%</t>
  </si>
  <si>
    <t>Ave.Load</t>
  </si>
  <si>
    <t>Loads &amp; Equipment</t>
  </si>
  <si>
    <t>KWh/day Summer</t>
  </si>
  <si>
    <t>KWh/day Winter</t>
  </si>
  <si>
    <t>C.Myatt</t>
  </si>
  <si>
    <t>Surge Calculations</t>
  </si>
  <si>
    <t>Temperature</t>
  </si>
  <si>
    <t>A/C WinterFraction</t>
  </si>
  <si>
    <t>SmartSolar MPPT 450/100 Tr</t>
  </si>
  <si>
    <t>Fronius Symo 5KW Inverter</t>
  </si>
  <si>
    <t>PV max</t>
  </si>
  <si>
    <t>KW Max. Solar</t>
  </si>
  <si>
    <t>KW Array, total</t>
  </si>
  <si>
    <t>Autonomy:</t>
  </si>
  <si>
    <t>System Configuration</t>
  </si>
  <si>
    <t>Battery, Loads and System Autonomy</t>
  </si>
  <si>
    <t>Solar/Loads</t>
  </si>
  <si>
    <t>Solar Calculations</t>
  </si>
  <si>
    <t>Array 1 Calculations</t>
  </si>
  <si>
    <t>Array 2 Calculations</t>
  </si>
  <si>
    <t>HW Gas &amp; 1 x Fridges, computer, router, LED lights, power.  3 Phase.  Cooking from Gas, Added also: 4 x Air conditioners, 8KW Generator See below</t>
  </si>
  <si>
    <t>Pump</t>
  </si>
  <si>
    <t>AC PV:</t>
  </si>
  <si>
    <t>Fraction:</t>
  </si>
  <si>
    <t>Rev Orig</t>
  </si>
  <si>
    <t>Pmax temp coeff</t>
  </si>
  <si>
    <t>Temperature derating</t>
  </si>
  <si>
    <t>Spring Max Temp</t>
  </si>
  <si>
    <t>Winter Min. Temp</t>
  </si>
  <si>
    <t>Temperature Coefficient of Pmax</t>
  </si>
  <si>
    <t>MultiplusII 48/8000/100</t>
  </si>
  <si>
    <t>TSM-DE09.08R</t>
  </si>
  <si>
    <t>Quattro 48/15000/110</t>
  </si>
  <si>
    <t>TSM-DE09R.08</t>
  </si>
  <si>
    <t>Powerhouse Lead-Carbon 100Ah</t>
  </si>
  <si>
    <t>Phoenix 48/1200</t>
  </si>
  <si>
    <t>Light</t>
  </si>
  <si>
    <t>BYD 5.0 Flex</t>
  </si>
  <si>
    <t>Calculation Sheet Rev 4.0</t>
  </si>
  <si>
    <t>Solar Tables</t>
  </si>
  <si>
    <t>Equipment</t>
  </si>
  <si>
    <t>Lookup: Azimuth + LocationSolarTable + RoofAngle</t>
  </si>
  <si>
    <t>C234:M269</t>
  </si>
  <si>
    <t>O235:T253</t>
  </si>
  <si>
    <t>V235:AA253</t>
  </si>
  <si>
    <t>R212:S223</t>
  </si>
  <si>
    <t>O276:T294</t>
  </si>
  <si>
    <t>V276:AA294</t>
  </si>
  <si>
    <t>AC276:AH294</t>
  </si>
  <si>
    <t>AJ276:AO294</t>
  </si>
  <si>
    <t>AQ276:AV294</t>
  </si>
  <si>
    <t>AX276:BC294</t>
  </si>
  <si>
    <t>BE276:BJ294</t>
  </si>
  <si>
    <t>BL276:BQ294</t>
  </si>
  <si>
    <t>BS276:BX294</t>
  </si>
  <si>
    <t>BZ276:CE294</t>
  </si>
  <si>
    <t>CG276:CL294</t>
  </si>
  <si>
    <t>CN276:CS294</t>
  </si>
  <si>
    <t>AC235:AH253</t>
  </si>
  <si>
    <t>AJ235:AO253</t>
  </si>
  <si>
    <t>AQ235:AV253</t>
  </si>
  <si>
    <t>AX235:BC253</t>
  </si>
  <si>
    <t>BE235:BJ253</t>
  </si>
  <si>
    <t>BL235:BQ253</t>
  </si>
  <si>
    <t>BS235:BX253</t>
  </si>
  <si>
    <t>BZ235:CE253</t>
  </si>
  <si>
    <t>CG235:CL253</t>
  </si>
  <si>
    <t>CN235:CS253</t>
  </si>
  <si>
    <t>O317:T335</t>
  </si>
  <si>
    <t>V317:AA335</t>
  </si>
  <si>
    <t>AC317:AH335</t>
  </si>
  <si>
    <t>AJ317:AO335</t>
  </si>
  <si>
    <t>AQ317:AV335</t>
  </si>
  <si>
    <t>AX317:BC335</t>
  </si>
  <si>
    <t>BE317:BJ335</t>
  </si>
  <si>
    <t>BL317:BQ335</t>
  </si>
  <si>
    <t>BS317:BX335</t>
  </si>
  <si>
    <t>BZ317:CE335</t>
  </si>
  <si>
    <t>CG317:CL335</t>
  </si>
  <si>
    <t>CN317:CS335</t>
  </si>
  <si>
    <t>O358:T376</t>
  </si>
  <si>
    <t>V358:AA376</t>
  </si>
  <si>
    <t>AC358:AH376</t>
  </si>
  <si>
    <t>AJ358:AO376</t>
  </si>
  <si>
    <t>AQ358:AV376</t>
  </si>
  <si>
    <t>AX358:BC376</t>
  </si>
  <si>
    <t>BE358:BJ376</t>
  </si>
  <si>
    <t>BL358:BQ376</t>
  </si>
  <si>
    <t>BS358:BX376</t>
  </si>
  <si>
    <t>BZ358:CE376</t>
  </si>
  <si>
    <t>CG358:CL376</t>
  </si>
  <si>
    <t>CN358:CS376</t>
  </si>
  <si>
    <t>O399:T417</t>
  </si>
  <si>
    <t>V399:AA417</t>
  </si>
  <si>
    <t>AC399:AH417</t>
  </si>
  <si>
    <t>AJ399:AO417</t>
  </si>
  <si>
    <t>AQ399:AV417</t>
  </si>
  <si>
    <t>AX399:BC417</t>
  </si>
  <si>
    <t>BE399:BJ417</t>
  </si>
  <si>
    <t>BL399:BQ417</t>
  </si>
  <si>
    <t>BS399:BX417</t>
  </si>
  <si>
    <t>BZ399:CE417</t>
  </si>
  <si>
    <t>CG399:CL417</t>
  </si>
  <si>
    <t>CN399:CS417</t>
  </si>
  <si>
    <t>O440:T458</t>
  </si>
  <si>
    <t>V440:AA458</t>
  </si>
  <si>
    <t>AC440:AH458</t>
  </si>
  <si>
    <t>AJ440:AO458</t>
  </si>
  <si>
    <t>AQ440:AV458</t>
  </si>
  <si>
    <t>AX440:BC458</t>
  </si>
  <si>
    <t>BE440:BJ458</t>
  </si>
  <si>
    <t>BL440:BQ458</t>
  </si>
  <si>
    <t>BS440:BX458</t>
  </si>
  <si>
    <t>BZ440:CE458</t>
  </si>
  <si>
    <t>CG440:CL458</t>
  </si>
  <si>
    <t>CN440:CS458</t>
  </si>
  <si>
    <t>O481:T499</t>
  </si>
  <si>
    <t>V481:AA499</t>
  </si>
  <si>
    <t>AC481:AH499</t>
  </si>
  <si>
    <t>AJ481:AO499</t>
  </si>
  <si>
    <t>AQ481:AV499</t>
  </si>
  <si>
    <t>AX481:BC499</t>
  </si>
  <si>
    <t>BE481:BJ499</t>
  </si>
  <si>
    <t>BL481:BQ499</t>
  </si>
  <si>
    <t>BS481:BX499</t>
  </si>
  <si>
    <t>BZ481:CE499</t>
  </si>
  <si>
    <t>CG481:CL499</t>
  </si>
  <si>
    <t>CN481:CS499</t>
  </si>
  <si>
    <t>O522:T540</t>
  </si>
  <si>
    <t>V522:AA540</t>
  </si>
  <si>
    <t>AC522:AH540</t>
  </si>
  <si>
    <t>AJ522:AO540</t>
  </si>
  <si>
    <t>AQ522:AV540</t>
  </si>
  <si>
    <t>AX522:BC540</t>
  </si>
  <si>
    <t>BE522:BJ540</t>
  </si>
  <si>
    <t>BL522:BQ540</t>
  </si>
  <si>
    <t>BS522:BX540</t>
  </si>
  <si>
    <t>BZ522:CE540</t>
  </si>
  <si>
    <t>CG522:CL540</t>
  </si>
  <si>
    <t>CN522:CS540</t>
  </si>
  <si>
    <t>O563:T581</t>
  </si>
  <si>
    <t>V563:AA581</t>
  </si>
  <si>
    <t>AC563:AH581</t>
  </si>
  <si>
    <t>AJ563:AO581</t>
  </si>
  <si>
    <t>AQ563:AV581</t>
  </si>
  <si>
    <t>AX563:BC581</t>
  </si>
  <si>
    <t>BE563:BJ581</t>
  </si>
  <si>
    <t>BL563:BQ581</t>
  </si>
  <si>
    <t>BS563:BX581</t>
  </si>
  <si>
    <t>BZ563:CE581</t>
  </si>
  <si>
    <t>CG563:CL581</t>
  </si>
  <si>
    <t>CN563:CS581</t>
  </si>
  <si>
    <t>O603:T621</t>
  </si>
  <si>
    <t>V603:AA621</t>
  </si>
  <si>
    <t>AC603:AH621</t>
  </si>
  <si>
    <t>AJ603:AO621</t>
  </si>
  <si>
    <t>AQ603:AV621</t>
  </si>
  <si>
    <t>AX603:BC621</t>
  </si>
  <si>
    <t>BE603:BJ621</t>
  </si>
  <si>
    <t>BL603:BQ621</t>
  </si>
  <si>
    <t>BS603:BX621</t>
  </si>
  <si>
    <t>BZ603:CE621</t>
  </si>
  <si>
    <t>CG603:CL621</t>
  </si>
  <si>
    <t>CN603:CS621</t>
  </si>
  <si>
    <t>U212:V223</t>
  </si>
  <si>
    <t>X212:Y223</t>
  </si>
  <si>
    <t>AA212:AB223</t>
  </si>
  <si>
    <t>AD212:AE223</t>
  </si>
  <si>
    <t>AG212:AH223</t>
  </si>
  <si>
    <t>AJ212:AK223</t>
  </si>
  <si>
    <t>AM212:AN223</t>
  </si>
  <si>
    <t>AP212:AQ223</t>
  </si>
  <si>
    <t>AS212:AT223</t>
  </si>
  <si>
    <t>Equipment-Options</t>
  </si>
  <si>
    <t>2 PPl</t>
  </si>
  <si>
    <t>3 PPl</t>
  </si>
  <si>
    <t>4-5 Ppl</t>
  </si>
  <si>
    <t>LargeUser</t>
  </si>
  <si>
    <t>Loads.Sheet</t>
  </si>
  <si>
    <t>SpecifyLoads&gt;&gt;</t>
  </si>
  <si>
    <t>BOM mean Max Mins, 2022 year, annual mean</t>
  </si>
  <si>
    <t>Brisbane Airport</t>
  </si>
  <si>
    <t>Canberra Airport</t>
  </si>
  <si>
    <t>Darwin Airport</t>
  </si>
  <si>
    <t>Hobart Airport</t>
  </si>
  <si>
    <t>Sydney Airport</t>
  </si>
  <si>
    <t>Melbourne Airport</t>
  </si>
  <si>
    <t>Adelaide Airport</t>
  </si>
  <si>
    <t>Alice Springs Airport</t>
  </si>
  <si>
    <t>Perth Airport</t>
  </si>
  <si>
    <t>Cairns Airport</t>
  </si>
  <si>
    <t>Winter.Min</t>
  </si>
  <si>
    <t>Spring.Ave-Max</t>
  </si>
  <si>
    <t>Brisbane.max</t>
  </si>
  <si>
    <t>Brisbane.min</t>
  </si>
  <si>
    <t>Canberra.max</t>
  </si>
  <si>
    <t>Canberra.min</t>
  </si>
  <si>
    <t>BOM mean Max Mins, for:</t>
  </si>
  <si>
    <t>Darwin.max</t>
  </si>
  <si>
    <t>Darwin.min</t>
  </si>
  <si>
    <t>Hobart.max</t>
  </si>
  <si>
    <t>Hobart.min</t>
  </si>
  <si>
    <t>Sydney.max</t>
  </si>
  <si>
    <t>Sydney.min</t>
  </si>
  <si>
    <t>Melbourne.max</t>
  </si>
  <si>
    <t>Melbourne.min</t>
  </si>
  <si>
    <t>Adelaide.max</t>
  </si>
  <si>
    <t>Adelaide.min</t>
  </si>
  <si>
    <t>Alice Springs.max</t>
  </si>
  <si>
    <t>Alice Springs.min</t>
  </si>
  <si>
    <t>Perth.max</t>
  </si>
  <si>
    <t>Perth.min</t>
  </si>
  <si>
    <t>Cairns.max</t>
  </si>
  <si>
    <t>Cairns.min</t>
  </si>
  <si>
    <t>Loc. - 3C</t>
  </si>
  <si>
    <t>(NOCT=43C)</t>
  </si>
  <si>
    <t>Spring Ave Max Temp</t>
  </si>
  <si>
    <t>User Profiles</t>
  </si>
  <si>
    <t>KW.max</t>
  </si>
  <si>
    <t>Users:</t>
  </si>
  <si>
    <t>Profile</t>
  </si>
  <si>
    <t>4-5</t>
  </si>
  <si>
    <t>5+</t>
  </si>
  <si>
    <t>Flexibility to reduce Power use:</t>
  </si>
  <si>
    <t>%age you could reduce power use if needed</t>
  </si>
  <si>
    <t>Inverter/charger.Row (from calcs/equip)</t>
  </si>
  <si>
    <t>City.Row (from calcs/SolarTables)</t>
  </si>
  <si>
    <t>Row.Array1/Equip-Options_SolarArrays</t>
  </si>
  <si>
    <t xml:space="preserve">Array Orientation deg° (Nrth=0)         </t>
  </si>
  <si>
    <t xml:space="preserve">          KVA</t>
  </si>
  <si>
    <t xml:space="preserve">  Nearest Major city</t>
  </si>
  <si>
    <t>Total Solar KW:</t>
  </si>
  <si>
    <t>Ratio</t>
  </si>
  <si>
    <t>Min. Solar output vs Loads:</t>
  </si>
  <si>
    <t>Target: 1.2 - 1.5</t>
  </si>
  <si>
    <t>Loads</t>
  </si>
  <si>
    <t>Used</t>
  </si>
  <si>
    <t>Or adjust Orient/Angle</t>
  </si>
  <si>
    <t>Or decrease people/loads</t>
  </si>
  <si>
    <t>Load.Label</t>
  </si>
  <si>
    <t>Solar.Label</t>
  </si>
  <si>
    <t>Version History</t>
  </si>
  <si>
    <t>1-3.2</t>
  </si>
  <si>
    <t>Published Version, configurable options with user-dropdowns/scroll-options &amp; Label refinements</t>
  </si>
  <si>
    <t>Enter your own loads</t>
  </si>
  <si>
    <t>Name</t>
  </si>
  <si>
    <t>Select your Power/Persons profile or Enter own</t>
  </si>
  <si>
    <r>
      <t xml:space="preserve">people  </t>
    </r>
    <r>
      <rPr>
        <i/>
        <sz val="10"/>
        <color theme="1"/>
        <rFont val="Calibri"/>
        <family val="2"/>
        <scheme val="minor"/>
      </rPr>
      <t>OR</t>
    </r>
  </si>
  <si>
    <t>V.HighUser</t>
  </si>
  <si>
    <t>High Use</t>
  </si>
  <si>
    <t>Battery.Row (from calcs/equip)</t>
  </si>
  <si>
    <t>Days of battery, w/o solar  Target 2.0-4.0</t>
  </si>
  <si>
    <t xml:space="preserve">       Enter your Loads &gt;&gt;</t>
  </si>
  <si>
    <t xml:space="preserve">Solar Array 1, 2 KW: </t>
  </si>
  <si>
    <t xml:space="preserve">Nearest City: </t>
  </si>
  <si>
    <t>48V Battery size in mind:</t>
  </si>
  <si>
    <r>
      <rPr>
        <i/>
        <sz val="11"/>
        <color theme="1" tint="0.499984740745262"/>
        <rFont val="Calibri"/>
        <family val="2"/>
        <scheme val="minor"/>
      </rPr>
      <t xml:space="preserve">  KW   </t>
    </r>
    <r>
      <rPr>
        <i/>
        <sz val="10"/>
        <color theme="1" tint="0.499984740745262"/>
        <rFont val="Calibri"/>
        <family val="2"/>
        <scheme val="minor"/>
      </rPr>
      <t>What size solar arrays?</t>
    </r>
  </si>
  <si>
    <r>
      <t xml:space="preserve">          Roof Tilt Angle deg</t>
    </r>
    <r>
      <rPr>
        <sz val="10"/>
        <color theme="1" tint="0.499984740745262"/>
        <rFont val="Calibri"/>
        <family val="2"/>
      </rPr>
      <t>°</t>
    </r>
    <r>
      <rPr>
        <i/>
        <sz val="10"/>
        <color theme="1" tint="0.499984740745262"/>
        <rFont val="Calibri"/>
        <family val="2"/>
      </rPr>
      <t xml:space="preserve"> </t>
    </r>
    <r>
      <rPr>
        <i/>
        <sz val="8"/>
        <color theme="1" tint="0.499984740745262"/>
        <rFont val="Calibri"/>
        <family val="2"/>
        <scheme val="minor"/>
      </rPr>
      <t>(from Horizontal)</t>
    </r>
  </si>
  <si>
    <t xml:space="preserve">          %</t>
  </si>
  <si>
    <t>Systems are 48V Battery banks, although similar for 24V or other voltages</t>
  </si>
  <si>
    <t>Your Address/Location</t>
  </si>
  <si>
    <t>From User.profiles</t>
  </si>
  <si>
    <t>Array Orientation / Roof Tilt</t>
  </si>
  <si>
    <t>Original Internal versions</t>
  </si>
  <si>
    <t>HRESYS</t>
  </si>
  <si>
    <t>LeadCarbon</t>
  </si>
  <si>
    <r>
      <t>Voc=ModuleVOC; y=Voltage Temp Coef.V/</t>
    </r>
    <r>
      <rPr>
        <i/>
        <sz val="8"/>
        <color theme="0"/>
        <rFont val="Calibri"/>
        <family val="2"/>
      </rPr>
      <t>°</t>
    </r>
    <r>
      <rPr>
        <i/>
        <sz val="8"/>
        <color theme="0"/>
        <rFont val="Arial"/>
        <family val="2"/>
      </rPr>
      <t xml:space="preserve">C; </t>
    </r>
  </si>
  <si>
    <r>
      <rPr>
        <i/>
        <sz val="11"/>
        <color theme="0"/>
        <rFont val="Calibri"/>
        <family val="2"/>
        <scheme val="minor"/>
      </rPr>
      <t>Nominal</t>
    </r>
    <r>
      <rPr>
        <sz val="11"/>
        <color theme="0"/>
        <rFont val="Calibri"/>
        <family val="2"/>
        <scheme val="minor"/>
      </rPr>
      <t xml:space="preserve"> power draw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</si>
</sst>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* #,##0.00_-;\-&quot;$&quot;* #,##0.00_-;_-&quot;$&quot;* &quot;-&quot;??_-;_-@_-"/>
    <numFmt numFmtId="164" formatCode="&quot;$&quot;#,##0.00"/>
    <numFmt numFmtId="165" formatCode="General_)"/>
    <numFmt numFmtId="166" formatCode="0.0"/>
    <numFmt numFmtId="167" formatCode="&quot;$&quot;#,##0.0000"/>
    <numFmt numFmtId="168" formatCode="&quot;+&quot;\ General\ &quot;V&quot;"/>
    <numFmt numFmtId="169" formatCode="0.000"/>
    <numFmt numFmtId="170" formatCode="[$-F400]h:mm:ss\ AM/PM"/>
    <numFmt numFmtId="171" formatCode="0.00000"/>
    <numFmt numFmtId="172" formatCode="&quot;$&quot;#,##0"/>
    <numFmt numFmtId="173" formatCode="0.0000"/>
    <numFmt numFmtId="174" formatCode="0.0%"/>
  </numFmts>
  <fonts count="1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Sans Serif"/>
    </font>
    <font>
      <i/>
      <sz val="10"/>
      <name val="Arial"/>
      <family val="2"/>
    </font>
    <font>
      <u/>
      <sz val="10"/>
      <color theme="10"/>
      <name val="MS Sans Serif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u/>
      <sz val="11"/>
      <color theme="8" tint="-0.499984740745262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6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b/>
      <sz val="11"/>
      <color theme="8" tint="-0.499984740745262"/>
      <name val="Arial"/>
      <family val="2"/>
    </font>
    <font>
      <sz val="9"/>
      <color theme="8" tint="-0.499984740745262"/>
      <name val="Arial"/>
      <family val="2"/>
    </font>
    <font>
      <i/>
      <sz val="10"/>
      <color theme="8" tint="-0.499984740745262"/>
      <name val="Arial"/>
      <family val="2"/>
    </font>
    <font>
      <sz val="8"/>
      <color theme="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i/>
      <sz val="9"/>
      <color rgb="FF00B0F0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</font>
    <font>
      <i/>
      <sz val="10"/>
      <color theme="1" tint="0.499984740745262"/>
      <name val="Calibri"/>
      <family val="2"/>
    </font>
    <font>
      <b/>
      <sz val="11"/>
      <color theme="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0"/>
      <color theme="2" tint="-0.749992370372631"/>
      <name val="Calibri"/>
      <family val="2"/>
      <scheme val="minor"/>
    </font>
    <font>
      <sz val="12"/>
      <name val="Calibri"/>
      <family val="2"/>
      <scheme val="minor"/>
    </font>
    <font>
      <sz val="10"/>
      <color theme="0"/>
      <name val="Arial"/>
      <family val="2"/>
    </font>
    <font>
      <sz val="16"/>
      <color theme="0"/>
      <name val="Arial"/>
      <family val="2"/>
    </font>
    <font>
      <b/>
      <sz val="11"/>
      <color theme="0"/>
      <name val="Arial"/>
      <family val="2"/>
    </font>
    <font>
      <sz val="9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MS Sans Serif"/>
    </font>
    <font>
      <i/>
      <sz val="9"/>
      <color theme="0"/>
      <name val="Calibri"/>
      <family val="2"/>
      <scheme val="minor"/>
    </font>
    <font>
      <b/>
      <sz val="10"/>
      <color theme="0"/>
      <name val="MS Sans Serif"/>
    </font>
    <font>
      <b/>
      <i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color theme="0"/>
      <name val="Arial"/>
      <family val="2"/>
    </font>
    <font>
      <i/>
      <sz val="8"/>
      <color theme="0"/>
      <name val="Calibri"/>
      <family val="2"/>
    </font>
    <font>
      <i/>
      <sz val="10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color theme="0"/>
      <name val="MS Sans Serif"/>
    </font>
    <font>
      <sz val="14"/>
      <color theme="0"/>
      <name val="Calibri"/>
      <family val="2"/>
      <scheme val="minor"/>
    </font>
    <font>
      <sz val="10"/>
      <color theme="1" tint="0.49998474074526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7BCC1"/>
        <bgColor indexed="64"/>
      </patternFill>
    </fill>
    <fill>
      <patternFill patternType="solid">
        <fgColor rgb="FFD0DBDE"/>
        <bgColor indexed="64"/>
      </patternFill>
    </fill>
    <fill>
      <patternFill patternType="solid">
        <fgColor rgb="FFFCEC74"/>
        <bgColor indexed="64"/>
      </patternFill>
    </fill>
    <fill>
      <patternFill patternType="solid">
        <fgColor rgb="FFFEF8CA"/>
        <bgColor indexed="64"/>
      </patternFill>
    </fill>
    <fill>
      <patternFill patternType="solid">
        <fgColor theme="1" tint="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8" tint="-0.499984740745262"/>
      </left>
      <right style="medium">
        <color indexed="64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18">
    <xf numFmtId="0" fontId="0" fillId="0" borderId="0" xfId="0"/>
    <xf numFmtId="0" fontId="0" fillId="3" borderId="0" xfId="0" applyFill="1"/>
    <xf numFmtId="0" fontId="0" fillId="8" borderId="0" xfId="0" applyFill="1"/>
    <xf numFmtId="166" fontId="10" fillId="4" borderId="1" xfId="0" applyNumberFormat="1" applyFont="1" applyFill="1" applyBorder="1"/>
    <xf numFmtId="0" fontId="0" fillId="7" borderId="0" xfId="0" applyFill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25" fillId="3" borderId="0" xfId="0" applyFont="1" applyFill="1" applyAlignment="1">
      <alignment horizontal="center"/>
    </xf>
    <xf numFmtId="0" fontId="26" fillId="3" borderId="0" xfId="0" applyFont="1" applyFill="1"/>
    <xf numFmtId="0" fontId="28" fillId="3" borderId="0" xfId="0" applyFont="1" applyFill="1"/>
    <xf numFmtId="0" fontId="26" fillId="3" borderId="1" xfId="0" applyFont="1" applyFill="1" applyBorder="1" applyAlignment="1">
      <alignment horizontal="center"/>
    </xf>
    <xf numFmtId="0" fontId="26" fillId="3" borderId="4" xfId="0" applyFont="1" applyFill="1" applyBorder="1"/>
    <xf numFmtId="0" fontId="0" fillId="3" borderId="0" xfId="0" applyFill="1" applyAlignment="1">
      <alignment horizontal="center"/>
    </xf>
    <xf numFmtId="0" fontId="12" fillId="0" borderId="0" xfId="0" applyFont="1"/>
    <xf numFmtId="0" fontId="2" fillId="8" borderId="1" xfId="0" applyFont="1" applyFill="1" applyBorder="1" applyAlignment="1">
      <alignment horizontal="center"/>
    </xf>
    <xf numFmtId="9" fontId="0" fillId="0" borderId="0" xfId="2" applyFont="1"/>
    <xf numFmtId="0" fontId="9" fillId="0" borderId="16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2" fontId="5" fillId="0" borderId="0" xfId="0" applyNumberFormat="1" applyFont="1"/>
    <xf numFmtId="0" fontId="8" fillId="0" borderId="0" xfId="0" applyFont="1"/>
    <xf numFmtId="9" fontId="8" fillId="0" borderId="0" xfId="0" applyNumberFormat="1" applyFont="1"/>
    <xf numFmtId="0" fontId="33" fillId="9" borderId="1" xfId="0" applyFont="1" applyFill="1" applyBorder="1"/>
    <xf numFmtId="0" fontId="12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0" fontId="36" fillId="0" borderId="0" xfId="0" applyFont="1"/>
    <xf numFmtId="2" fontId="36" fillId="0" borderId="0" xfId="0" applyNumberFormat="1" applyFont="1"/>
    <xf numFmtId="0" fontId="36" fillId="0" borderId="0" xfId="0" applyFont="1" applyAlignment="1">
      <alignment horizontal="center"/>
    </xf>
    <xf numFmtId="0" fontId="36" fillId="0" borderId="1" xfId="0" applyFont="1" applyBorder="1"/>
    <xf numFmtId="2" fontId="36" fillId="0" borderId="1" xfId="0" applyNumberFormat="1" applyFont="1" applyBorder="1"/>
    <xf numFmtId="1" fontId="36" fillId="0" borderId="1" xfId="0" applyNumberFormat="1" applyFont="1" applyBorder="1"/>
    <xf numFmtId="9" fontId="36" fillId="0" borderId="1" xfId="2" applyFont="1" applyBorder="1"/>
    <xf numFmtId="0" fontId="37" fillId="0" borderId="0" xfId="0" applyFont="1"/>
    <xf numFmtId="0" fontId="5" fillId="10" borderId="1" xfId="0" applyFont="1" applyFill="1" applyBorder="1"/>
    <xf numFmtId="2" fontId="5" fillId="10" borderId="1" xfId="0" applyNumberFormat="1" applyFont="1" applyFill="1" applyBorder="1"/>
    <xf numFmtId="0" fontId="5" fillId="6" borderId="1" xfId="0" applyFont="1" applyFill="1" applyBorder="1"/>
    <xf numFmtId="2" fontId="5" fillId="6" borderId="1" xfId="0" applyNumberFormat="1" applyFont="1" applyFill="1" applyBorder="1"/>
    <xf numFmtId="9" fontId="9" fillId="0" borderId="0" xfId="2" applyFont="1"/>
    <xf numFmtId="0" fontId="12" fillId="3" borderId="0" xfId="0" applyFont="1" applyFill="1"/>
    <xf numFmtId="2" fontId="36" fillId="0" borderId="1" xfId="0" applyNumberFormat="1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2" fillId="8" borderId="0" xfId="0" applyFont="1" applyFill="1"/>
    <xf numFmtId="166" fontId="9" fillId="3" borderId="1" xfId="0" applyNumberFormat="1" applyFont="1" applyFill="1" applyBorder="1"/>
    <xf numFmtId="0" fontId="12" fillId="3" borderId="1" xfId="0" applyFont="1" applyFill="1" applyBorder="1" applyAlignment="1">
      <alignment horizontal="center"/>
    </xf>
    <xf numFmtId="0" fontId="9" fillId="7" borderId="2" xfId="0" applyFont="1" applyFill="1" applyBorder="1"/>
    <xf numFmtId="166" fontId="12" fillId="7" borderId="1" xfId="0" applyNumberFormat="1" applyFont="1" applyFill="1" applyBorder="1"/>
    <xf numFmtId="166" fontId="5" fillId="10" borderId="1" xfId="0" applyNumberFormat="1" applyFont="1" applyFill="1" applyBorder="1"/>
    <xf numFmtId="0" fontId="21" fillId="0" borderId="0" xfId="0" applyFont="1"/>
    <xf numFmtId="0" fontId="46" fillId="0" borderId="0" xfId="0" applyFont="1" applyAlignment="1">
      <alignment horizontal="left"/>
    </xf>
    <xf numFmtId="0" fontId="52" fillId="3" borderId="0" xfId="0" applyFont="1" applyFill="1"/>
    <xf numFmtId="9" fontId="36" fillId="0" borderId="1" xfId="2" applyFont="1" applyFill="1" applyBorder="1"/>
    <xf numFmtId="0" fontId="34" fillId="0" borderId="0" xfId="0" applyFont="1"/>
    <xf numFmtId="0" fontId="0" fillId="0" borderId="1" xfId="0" applyBorder="1" applyAlignment="1">
      <alignment horizontal="center"/>
    </xf>
    <xf numFmtId="173" fontId="36" fillId="0" borderId="1" xfId="0" applyNumberFormat="1" applyFont="1" applyBorder="1"/>
    <xf numFmtId="9" fontId="33" fillId="9" borderId="1" xfId="2" applyFont="1" applyFill="1" applyBorder="1" applyAlignment="1">
      <alignment horizontal="center"/>
    </xf>
    <xf numFmtId="9" fontId="6" fillId="9" borderId="1" xfId="0" applyNumberFormat="1" applyFont="1" applyFill="1" applyBorder="1" applyAlignment="1">
      <alignment horizontal="center"/>
    </xf>
    <xf numFmtId="2" fontId="33" fillId="9" borderId="1" xfId="0" applyNumberFormat="1" applyFont="1" applyFill="1" applyBorder="1"/>
    <xf numFmtId="169" fontId="53" fillId="9" borderId="3" xfId="0" applyNumberFormat="1" applyFont="1" applyFill="1" applyBorder="1"/>
    <xf numFmtId="2" fontId="6" fillId="9" borderId="1" xfId="0" applyNumberFormat="1" applyFont="1" applyFill="1" applyBorder="1"/>
    <xf numFmtId="170" fontId="5" fillId="11" borderId="1" xfId="0" applyNumberFormat="1" applyFont="1" applyFill="1" applyBorder="1"/>
    <xf numFmtId="9" fontId="6" fillId="11" borderId="1" xfId="0" applyNumberFormat="1" applyFont="1" applyFill="1" applyBorder="1" applyAlignment="1">
      <alignment horizontal="center"/>
    </xf>
    <xf numFmtId="2" fontId="6" fillId="11" borderId="1" xfId="0" applyNumberFormat="1" applyFont="1" applyFill="1" applyBorder="1"/>
    <xf numFmtId="0" fontId="9" fillId="9" borderId="1" xfId="0" applyFont="1" applyFill="1" applyBorder="1"/>
    <xf numFmtId="170" fontId="5" fillId="9" borderId="1" xfId="0" applyNumberFormat="1" applyFont="1" applyFill="1" applyBorder="1"/>
    <xf numFmtId="1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54" fillId="3" borderId="0" xfId="0" applyFont="1" applyFill="1"/>
    <xf numFmtId="10" fontId="54" fillId="3" borderId="0" xfId="2" applyNumberFormat="1" applyFont="1" applyFill="1"/>
    <xf numFmtId="0" fontId="55" fillId="3" borderId="0" xfId="0" applyFont="1" applyFill="1"/>
    <xf numFmtId="9" fontId="22" fillId="7" borderId="1" xfId="2" applyFont="1" applyFill="1" applyBorder="1"/>
    <xf numFmtId="0" fontId="36" fillId="12" borderId="0" xfId="0" applyFont="1" applyFill="1"/>
    <xf numFmtId="0" fontId="0" fillId="12" borderId="0" xfId="0" applyFill="1"/>
    <xf numFmtId="0" fontId="0" fillId="13" borderId="0" xfId="0" applyFill="1"/>
    <xf numFmtId="0" fontId="35" fillId="13" borderId="0" xfId="0" applyFont="1" applyFill="1"/>
    <xf numFmtId="0" fontId="3" fillId="13" borderId="0" xfId="0" applyFont="1" applyFill="1"/>
    <xf numFmtId="0" fontId="54" fillId="13" borderId="0" xfId="0" applyFont="1" applyFill="1"/>
    <xf numFmtId="0" fontId="58" fillId="13" borderId="0" xfId="0" applyFont="1" applyFill="1"/>
    <xf numFmtId="0" fontId="59" fillId="13" borderId="0" xfId="0" applyFont="1" applyFill="1"/>
    <xf numFmtId="14" fontId="60" fillId="13" borderId="0" xfId="0" applyNumberFormat="1" applyFont="1" applyFill="1"/>
    <xf numFmtId="0" fontId="61" fillId="13" borderId="0" xfId="0" applyFont="1" applyFill="1"/>
    <xf numFmtId="0" fontId="62" fillId="13" borderId="0" xfId="0" applyFont="1" applyFill="1" applyAlignment="1">
      <alignment horizontal="right"/>
    </xf>
    <xf numFmtId="0" fontId="60" fillId="13" borderId="0" xfId="0" applyFont="1" applyFill="1"/>
    <xf numFmtId="0" fontId="63" fillId="13" borderId="0" xfId="0" applyFont="1" applyFill="1"/>
    <xf numFmtId="0" fontId="58" fillId="0" borderId="0" xfId="0" applyFont="1"/>
    <xf numFmtId="0" fontId="57" fillId="0" borderId="0" xfId="0" applyFont="1" applyAlignment="1">
      <alignment horizontal="right"/>
    </xf>
    <xf numFmtId="166" fontId="5" fillId="6" borderId="1" xfId="0" applyNumberFormat="1" applyFont="1" applyFill="1" applyBorder="1"/>
    <xf numFmtId="9" fontId="12" fillId="0" borderId="0" xfId="2" applyFont="1"/>
    <xf numFmtId="0" fontId="16" fillId="13" borderId="1" xfId="0" applyFont="1" applyFill="1" applyBorder="1" applyAlignment="1">
      <alignment wrapText="1"/>
    </xf>
    <xf numFmtId="0" fontId="16" fillId="13" borderId="1" xfId="0" applyFont="1" applyFill="1" applyBorder="1" applyAlignment="1">
      <alignment horizontal="center" wrapText="1"/>
    </xf>
    <xf numFmtId="0" fontId="21" fillId="13" borderId="1" xfId="0" applyFont="1" applyFill="1" applyBorder="1" applyAlignment="1">
      <alignment horizontal="center" wrapText="1"/>
    </xf>
    <xf numFmtId="0" fontId="9" fillId="13" borderId="1" xfId="0" applyFont="1" applyFill="1" applyBorder="1" applyAlignment="1">
      <alignment horizontal="center" wrapText="1"/>
    </xf>
    <xf numFmtId="0" fontId="65" fillId="0" borderId="0" xfId="0" applyFont="1"/>
    <xf numFmtId="170" fontId="66" fillId="0" borderId="0" xfId="0" applyNumberFormat="1" applyFont="1"/>
    <xf numFmtId="0" fontId="67" fillId="0" borderId="0" xfId="0" applyFont="1"/>
    <xf numFmtId="0" fontId="13" fillId="0" borderId="0" xfId="0" applyFont="1" applyAlignment="1">
      <alignment horizontal="right"/>
    </xf>
    <xf numFmtId="14" fontId="0" fillId="0" borderId="0" xfId="0" applyNumberFormat="1"/>
    <xf numFmtId="0" fontId="57" fillId="5" borderId="0" xfId="0" applyFont="1" applyFill="1" applyAlignment="1">
      <alignment horizontal="left" wrapText="1"/>
    </xf>
    <xf numFmtId="0" fontId="57" fillId="5" borderId="0" xfId="0" applyFont="1" applyFill="1" applyAlignment="1">
      <alignment horizontal="left"/>
    </xf>
    <xf numFmtId="0" fontId="58" fillId="12" borderId="0" xfId="0" applyFont="1" applyFill="1"/>
    <xf numFmtId="169" fontId="57" fillId="5" borderId="5" xfId="0" applyNumberFormat="1" applyFont="1" applyFill="1" applyBorder="1" applyAlignment="1">
      <alignment horizontal="left" wrapText="1"/>
    </xf>
    <xf numFmtId="0" fontId="68" fillId="3" borderId="0" xfId="0" applyFont="1" applyFill="1"/>
    <xf numFmtId="166" fontId="70" fillId="3" borderId="1" xfId="0" applyNumberFormat="1" applyFont="1" applyFill="1" applyBorder="1"/>
    <xf numFmtId="166" fontId="41" fillId="3" borderId="1" xfId="0" applyNumberFormat="1" applyFont="1" applyFill="1" applyBorder="1"/>
    <xf numFmtId="14" fontId="71" fillId="3" borderId="0" xfId="0" applyNumberFormat="1" applyFont="1" applyFill="1"/>
    <xf numFmtId="0" fontId="0" fillId="14" borderId="10" xfId="0" applyFill="1" applyBorder="1"/>
    <xf numFmtId="0" fontId="0" fillId="14" borderId="0" xfId="0" applyFill="1"/>
    <xf numFmtId="0" fontId="0" fillId="15" borderId="0" xfId="0" applyFill="1"/>
    <xf numFmtId="0" fontId="0" fillId="15" borderId="9" xfId="0" applyFill="1" applyBorder="1"/>
    <xf numFmtId="0" fontId="0" fillId="15" borderId="10" xfId="0" applyFill="1" applyBorder="1"/>
    <xf numFmtId="0" fontId="0" fillId="15" borderId="11" xfId="0" applyFill="1" applyBorder="1"/>
    <xf numFmtId="0" fontId="0" fillId="15" borderId="12" xfId="0" applyFill="1" applyBorder="1"/>
    <xf numFmtId="0" fontId="0" fillId="15" borderId="13" xfId="0" applyFill="1" applyBorder="1"/>
    <xf numFmtId="0" fontId="0" fillId="15" borderId="0" xfId="0" applyFill="1" applyAlignment="1">
      <alignment horizontal="right"/>
    </xf>
    <xf numFmtId="0" fontId="23" fillId="15" borderId="0" xfId="0" applyFont="1" applyFill="1"/>
    <xf numFmtId="0" fontId="20" fillId="15" borderId="9" xfId="0" applyFont="1" applyFill="1" applyBorder="1"/>
    <xf numFmtId="0" fontId="0" fillId="15" borderId="1" xfId="0" applyFill="1" applyBorder="1"/>
    <xf numFmtId="0" fontId="29" fillId="15" borderId="9" xfId="0" applyFont="1" applyFill="1" applyBorder="1"/>
    <xf numFmtId="0" fontId="0" fillId="15" borderId="1" xfId="0" applyFill="1" applyBorder="1" applyAlignment="1">
      <alignment horizontal="right"/>
    </xf>
    <xf numFmtId="0" fontId="7" fillId="15" borderId="9" xfId="0" applyFont="1" applyFill="1" applyBorder="1"/>
    <xf numFmtId="0" fontId="20" fillId="14" borderId="9" xfId="0" applyFont="1" applyFill="1" applyBorder="1"/>
    <xf numFmtId="0" fontId="72" fillId="14" borderId="0" xfId="0" applyFont="1" applyFill="1"/>
    <xf numFmtId="0" fontId="0" fillId="16" borderId="0" xfId="0" applyFill="1"/>
    <xf numFmtId="0" fontId="0" fillId="16" borderId="9" xfId="0" applyFill="1" applyBorder="1"/>
    <xf numFmtId="0" fontId="0" fillId="16" borderId="10" xfId="0" applyFill="1" applyBorder="1"/>
    <xf numFmtId="0" fontId="0" fillId="16" borderId="0" xfId="0" applyFill="1" applyAlignment="1">
      <alignment horizontal="right"/>
    </xf>
    <xf numFmtId="0" fontId="11" fillId="16" borderId="0" xfId="0" applyFont="1" applyFill="1"/>
    <xf numFmtId="0" fontId="0" fillId="8" borderId="0" xfId="0" applyFill="1" applyAlignment="1">
      <alignment wrapText="1"/>
    </xf>
    <xf numFmtId="169" fontId="57" fillId="8" borderId="5" xfId="0" applyNumberFormat="1" applyFont="1" applyFill="1" applyBorder="1" applyAlignment="1">
      <alignment horizontal="left" wrapText="1"/>
    </xf>
    <xf numFmtId="0" fontId="5" fillId="8" borderId="0" xfId="0" applyFont="1" applyFill="1"/>
    <xf numFmtId="0" fontId="57" fillId="8" borderId="0" xfId="0" applyFont="1" applyFill="1"/>
    <xf numFmtId="171" fontId="5" fillId="8" borderId="0" xfId="0" applyNumberFormat="1" applyFont="1" applyFill="1"/>
    <xf numFmtId="2" fontId="5" fillId="8" borderId="0" xfId="0" applyNumberFormat="1" applyFont="1" applyFill="1"/>
    <xf numFmtId="0" fontId="15" fillId="8" borderId="0" xfId="0" applyFont="1" applyFill="1"/>
    <xf numFmtId="0" fontId="11" fillId="13" borderId="0" xfId="0" applyFont="1" applyFill="1"/>
    <xf numFmtId="0" fontId="58" fillId="3" borderId="7" xfId="0" applyFont="1" applyFill="1" applyBorder="1"/>
    <xf numFmtId="0" fontId="58" fillId="3" borderId="8" xfId="0" applyFont="1" applyFill="1" applyBorder="1"/>
    <xf numFmtId="0" fontId="21" fillId="0" borderId="0" xfId="0" applyFont="1" applyAlignment="1">
      <alignment horizontal="right" vertical="top"/>
    </xf>
    <xf numFmtId="0" fontId="56" fillId="0" borderId="0" xfId="0" applyFont="1" applyAlignment="1">
      <alignment vertical="top"/>
    </xf>
    <xf numFmtId="166" fontId="33" fillId="9" borderId="1" xfId="0" applyNumberFormat="1" applyFont="1" applyFill="1" applyBorder="1"/>
    <xf numFmtId="0" fontId="0" fillId="2" borderId="0" xfId="0" applyFill="1"/>
    <xf numFmtId="0" fontId="5" fillId="3" borderId="0" xfId="0" applyFont="1" applyFill="1"/>
    <xf numFmtId="0" fontId="80" fillId="0" borderId="1" xfId="0" applyFont="1" applyBorder="1" applyAlignment="1">
      <alignment vertical="center" wrapText="1"/>
    </xf>
    <xf numFmtId="1" fontId="34" fillId="0" borderId="0" xfId="0" applyNumberFormat="1" applyFont="1"/>
    <xf numFmtId="0" fontId="82" fillId="3" borderId="0" xfId="0" applyFont="1" applyFill="1"/>
    <xf numFmtId="0" fontId="12" fillId="3" borderId="6" xfId="0" applyFont="1" applyFill="1" applyBorder="1"/>
    <xf numFmtId="0" fontId="12" fillId="3" borderId="8" xfId="0" applyFont="1" applyFill="1" applyBorder="1" applyAlignment="1">
      <alignment horizontal="center"/>
    </xf>
    <xf numFmtId="0" fontId="12" fillId="3" borderId="9" xfId="0" applyFont="1" applyFill="1" applyBorder="1"/>
    <xf numFmtId="0" fontId="12" fillId="3" borderId="10" xfId="0" applyFont="1" applyFill="1" applyBorder="1" applyAlignment="1">
      <alignment horizontal="center"/>
    </xf>
    <xf numFmtId="0" fontId="12" fillId="3" borderId="10" xfId="0" applyFont="1" applyFill="1" applyBorder="1"/>
    <xf numFmtId="0" fontId="57" fillId="3" borderId="9" xfId="0" applyFont="1" applyFill="1" applyBorder="1"/>
    <xf numFmtId="0" fontId="57" fillId="3" borderId="0" xfId="0" applyFont="1" applyFill="1"/>
    <xf numFmtId="0" fontId="13" fillId="3" borderId="1" xfId="0" applyFont="1" applyFill="1" applyBorder="1" applyAlignment="1">
      <alignment horizontal="center"/>
    </xf>
    <xf numFmtId="0" fontId="13" fillId="3" borderId="20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5" fillId="3" borderId="22" xfId="0" applyFont="1" applyFill="1" applyBorder="1" applyAlignment="1">
      <alignment horizontal="center"/>
    </xf>
    <xf numFmtId="0" fontId="73" fillId="3" borderId="9" xfId="0" applyFont="1" applyFill="1" applyBorder="1"/>
    <xf numFmtId="0" fontId="73" fillId="3" borderId="0" xfId="0" applyFont="1" applyFill="1"/>
    <xf numFmtId="166" fontId="74" fillId="3" borderId="1" xfId="0" applyNumberFormat="1" applyFont="1" applyFill="1" applyBorder="1" applyAlignment="1">
      <alignment horizontal="center"/>
    </xf>
    <xf numFmtId="166" fontId="74" fillId="3" borderId="21" xfId="0" applyNumberFormat="1" applyFont="1" applyFill="1" applyBorder="1" applyAlignment="1">
      <alignment horizontal="center"/>
    </xf>
    <xf numFmtId="166" fontId="74" fillId="3" borderId="18" xfId="0" applyNumberFormat="1" applyFont="1" applyFill="1" applyBorder="1" applyAlignment="1">
      <alignment horizontal="center"/>
    </xf>
    <xf numFmtId="0" fontId="74" fillId="3" borderId="23" xfId="0" applyFont="1" applyFill="1" applyBorder="1" applyAlignment="1">
      <alignment horizontal="center"/>
    </xf>
    <xf numFmtId="0" fontId="0" fillId="3" borderId="11" xfId="0" applyFill="1" applyBorder="1"/>
    <xf numFmtId="166" fontId="75" fillId="3" borderId="12" xfId="0" applyNumberFormat="1" applyFont="1" applyFill="1" applyBorder="1" applyAlignment="1">
      <alignment horizontal="center"/>
    </xf>
    <xf numFmtId="166" fontId="76" fillId="3" borderId="12" xfId="0" applyNumberFormat="1" applyFont="1" applyFill="1" applyBorder="1" applyAlignment="1">
      <alignment horizontal="center"/>
    </xf>
    <xf numFmtId="0" fontId="0" fillId="3" borderId="13" xfId="0" applyFill="1" applyBorder="1"/>
    <xf numFmtId="2" fontId="16" fillId="17" borderId="1" xfId="0" applyNumberFormat="1" applyFont="1" applyFill="1" applyBorder="1" applyAlignment="1">
      <alignment horizontal="center"/>
    </xf>
    <xf numFmtId="0" fontId="16" fillId="15" borderId="0" xfId="0" applyFont="1" applyFill="1"/>
    <xf numFmtId="0" fontId="64" fillId="15" borderId="0" xfId="0" applyFont="1" applyFill="1" applyAlignment="1">
      <alignment horizontal="center"/>
    </xf>
    <xf numFmtId="0" fontId="77" fillId="15" borderId="0" xfId="0" applyFont="1" applyFill="1"/>
    <xf numFmtId="0" fontId="12" fillId="3" borderId="0" xfId="0" applyFont="1" applyFill="1" applyAlignment="1">
      <alignment horizontal="left"/>
    </xf>
    <xf numFmtId="0" fontId="22" fillId="3" borderId="1" xfId="0" applyFont="1" applyFill="1" applyBorder="1" applyAlignment="1">
      <alignment horizontal="center"/>
    </xf>
    <xf numFmtId="0" fontId="19" fillId="0" borderId="0" xfId="0" applyFont="1"/>
    <xf numFmtId="166" fontId="26" fillId="5" borderId="1" xfId="0" applyNumberFormat="1" applyFont="1" applyFill="1" applyBorder="1"/>
    <xf numFmtId="0" fontId="26" fillId="5" borderId="1" xfId="0" applyFont="1" applyFill="1" applyBorder="1"/>
    <xf numFmtId="2" fontId="26" fillId="5" borderId="1" xfId="0" applyNumberFormat="1" applyFont="1" applyFill="1" applyBorder="1"/>
    <xf numFmtId="166" fontId="26" fillId="5" borderId="1" xfId="0" applyNumberFormat="1" applyFont="1" applyFill="1" applyBorder="1" applyAlignment="1">
      <alignment horizontal="right"/>
    </xf>
    <xf numFmtId="0" fontId="27" fillId="5" borderId="1" xfId="0" applyFont="1" applyFill="1" applyBorder="1" applyAlignment="1">
      <alignment horizontal="right" vertical="center"/>
    </xf>
    <xf numFmtId="1" fontId="26" fillId="5" borderId="1" xfId="0" applyNumberFormat="1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1" fontId="0" fillId="16" borderId="1" xfId="0" applyNumberFormat="1" applyFill="1" applyBorder="1" applyAlignment="1" applyProtection="1">
      <alignment horizontal="center"/>
      <protection locked="0"/>
    </xf>
    <xf numFmtId="0" fontId="23" fillId="16" borderId="0" xfId="0" applyFont="1" applyFill="1"/>
    <xf numFmtId="0" fontId="81" fillId="16" borderId="10" xfId="0" applyFont="1" applyFill="1" applyBorder="1" applyAlignment="1">
      <alignment horizontal="right"/>
    </xf>
    <xf numFmtId="0" fontId="42" fillId="16" borderId="0" xfId="0" applyFont="1" applyFill="1"/>
    <xf numFmtId="0" fontId="69" fillId="16" borderId="0" xfId="0" applyFont="1" applyFill="1" applyAlignment="1">
      <alignment horizontal="right"/>
    </xf>
    <xf numFmtId="166" fontId="0" fillId="16" borderId="1" xfId="0" applyNumberFormat="1" applyFill="1" applyBorder="1"/>
    <xf numFmtId="166" fontId="0" fillId="16" borderId="1" xfId="0" applyNumberFormat="1" applyFill="1" applyBorder="1" applyProtection="1">
      <protection locked="0"/>
    </xf>
    <xf numFmtId="1" fontId="30" fillId="16" borderId="19" xfId="0" applyNumberFormat="1" applyFont="1" applyFill="1" applyBorder="1" applyAlignment="1">
      <alignment horizontal="center"/>
    </xf>
    <xf numFmtId="0" fontId="0" fillId="16" borderId="10" xfId="0" applyFill="1" applyBorder="1" applyAlignment="1">
      <alignment horizontal="center"/>
    </xf>
    <xf numFmtId="0" fontId="12" fillId="16" borderId="0" xfId="0" applyFont="1" applyFill="1"/>
    <xf numFmtId="0" fontId="0" fillId="16" borderId="1" xfId="0" quotePrefix="1" applyFill="1" applyBorder="1" applyAlignment="1" applyProtection="1">
      <alignment horizontal="right"/>
      <protection locked="0"/>
    </xf>
    <xf numFmtId="0" fontId="16" fillId="16" borderId="0" xfId="0" applyFont="1" applyFill="1" applyAlignment="1">
      <alignment vertical="center"/>
    </xf>
    <xf numFmtId="0" fontId="87" fillId="16" borderId="0" xfId="0" applyFont="1" applyFill="1"/>
    <xf numFmtId="0" fontId="87" fillId="16" borderId="10" xfId="0" applyFont="1" applyFill="1" applyBorder="1" applyAlignment="1">
      <alignment horizontal="center"/>
    </xf>
    <xf numFmtId="0" fontId="16" fillId="16" borderId="0" xfId="0" applyFont="1" applyFill="1"/>
    <xf numFmtId="0" fontId="42" fillId="16" borderId="0" xfId="0" applyFont="1" applyFill="1" applyAlignment="1">
      <alignment horizontal="right"/>
    </xf>
    <xf numFmtId="0" fontId="0" fillId="16" borderId="1" xfId="0" applyFill="1" applyBorder="1" applyProtection="1">
      <protection locked="0"/>
    </xf>
    <xf numFmtId="0" fontId="0" fillId="16" borderId="11" xfId="0" applyFill="1" applyBorder="1"/>
    <xf numFmtId="0" fontId="0" fillId="16" borderId="12" xfId="0" applyFill="1" applyBorder="1"/>
    <xf numFmtId="0" fontId="0" fillId="16" borderId="13" xfId="0" applyFill="1" applyBorder="1"/>
    <xf numFmtId="0" fontId="0" fillId="5" borderId="1" xfId="0" applyFill="1" applyBorder="1" applyAlignment="1" applyProtection="1">
      <alignment horizontal="center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0" fillId="13" borderId="4" xfId="0" applyFill="1" applyBorder="1" applyAlignment="1">
      <alignment horizontal="left"/>
    </xf>
    <xf numFmtId="0" fontId="0" fillId="13" borderId="0" xfId="0" applyFill="1" applyAlignment="1">
      <alignment horizontal="left"/>
    </xf>
    <xf numFmtId="0" fontId="0" fillId="13" borderId="10" xfId="0" applyFill="1" applyBorder="1"/>
    <xf numFmtId="0" fontId="19" fillId="13" borderId="0" xfId="0" applyFont="1" applyFill="1" applyAlignment="1">
      <alignment horizontal="left"/>
    </xf>
    <xf numFmtId="0" fontId="19" fillId="13" borderId="0" xfId="0" applyFont="1" applyFill="1"/>
    <xf numFmtId="0" fontId="12" fillId="13" borderId="4" xfId="0" applyFont="1" applyFill="1" applyBorder="1" applyAlignment="1">
      <alignment horizontal="left"/>
    </xf>
    <xf numFmtId="0" fontId="12" fillId="13" borderId="0" xfId="0" applyFont="1" applyFill="1" applyAlignment="1">
      <alignment horizontal="left"/>
    </xf>
    <xf numFmtId="0" fontId="12" fillId="13" borderId="0" xfId="0" applyFont="1" applyFill="1"/>
    <xf numFmtId="0" fontId="0" fillId="13" borderId="12" xfId="0" applyFill="1" applyBorder="1"/>
    <xf numFmtId="0" fontId="0" fillId="13" borderId="13" xfId="0" applyFill="1" applyBorder="1"/>
    <xf numFmtId="0" fontId="0" fillId="13" borderId="11" xfId="0" applyFill="1" applyBorder="1"/>
    <xf numFmtId="0" fontId="42" fillId="13" borderId="0" xfId="0" applyFont="1" applyFill="1"/>
    <xf numFmtId="0" fontId="0" fillId="13" borderId="9" xfId="0" applyFill="1" applyBorder="1"/>
    <xf numFmtId="0" fontId="16" fillId="0" borderId="0" xfId="0" applyFont="1"/>
    <xf numFmtId="0" fontId="21" fillId="3" borderId="0" xfId="0" applyFont="1" applyFill="1"/>
    <xf numFmtId="0" fontId="0" fillId="3" borderId="0" xfId="0" applyFill="1" applyAlignment="1">
      <alignment vertical="center" wrapText="1"/>
    </xf>
    <xf numFmtId="0" fontId="36" fillId="3" borderId="0" xfId="0" applyFont="1" applyFill="1" applyAlignment="1">
      <alignment horizontal="center"/>
    </xf>
    <xf numFmtId="0" fontId="36" fillId="3" borderId="0" xfId="0" applyFont="1" applyFill="1" applyAlignment="1">
      <alignment horizontal="left"/>
    </xf>
    <xf numFmtId="0" fontId="46" fillId="3" borderId="0" xfId="0" applyFont="1" applyFill="1" applyAlignment="1">
      <alignment horizontal="left"/>
    </xf>
    <xf numFmtId="0" fontId="36" fillId="3" borderId="0" xfId="0" applyFont="1" applyFill="1"/>
    <xf numFmtId="2" fontId="36" fillId="3" borderId="0" xfId="0" applyNumberFormat="1" applyFont="1" applyFill="1"/>
    <xf numFmtId="0" fontId="78" fillId="3" borderId="1" xfId="0" applyFont="1" applyFill="1" applyBorder="1" applyAlignment="1">
      <alignment horizontal="center"/>
    </xf>
    <xf numFmtId="0" fontId="78" fillId="3" borderId="0" xfId="0" applyFont="1" applyFill="1" applyAlignment="1">
      <alignment horizontal="left"/>
    </xf>
    <xf numFmtId="0" fontId="78" fillId="3" borderId="0" xfId="0" applyFont="1" applyFill="1" applyAlignment="1">
      <alignment horizontal="center"/>
    </xf>
    <xf numFmtId="0" fontId="45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left" wrapText="1"/>
    </xf>
    <xf numFmtId="0" fontId="0" fillId="3" borderId="0" xfId="0" applyFill="1" applyAlignment="1">
      <alignment wrapText="1"/>
    </xf>
    <xf numFmtId="0" fontId="49" fillId="3" borderId="1" xfId="0" applyFont="1" applyFill="1" applyBorder="1" applyAlignment="1">
      <alignment horizontal="center" wrapText="1"/>
    </xf>
    <xf numFmtId="0" fontId="50" fillId="3" borderId="1" xfId="0" applyFont="1" applyFill="1" applyBorder="1" applyAlignment="1">
      <alignment horizontal="center" wrapText="1"/>
    </xf>
    <xf numFmtId="0" fontId="45" fillId="3" borderId="1" xfId="0" applyFont="1" applyFill="1" applyBorder="1" applyAlignment="1">
      <alignment horizontal="center" wrapText="1"/>
    </xf>
    <xf numFmtId="0" fontId="50" fillId="3" borderId="0" xfId="0" applyFont="1" applyFill="1" applyAlignment="1">
      <alignment horizontal="center" wrapText="1"/>
    </xf>
    <xf numFmtId="0" fontId="51" fillId="3" borderId="1" xfId="0" applyFont="1" applyFill="1" applyBorder="1" applyAlignment="1">
      <alignment horizontal="center" wrapText="1"/>
    </xf>
    <xf numFmtId="0" fontId="51" fillId="3" borderId="0" xfId="0" applyFont="1" applyFill="1" applyAlignment="1">
      <alignment horizontal="center" wrapText="1"/>
    </xf>
    <xf numFmtId="2" fontId="44" fillId="3" borderId="1" xfId="0" applyNumberFormat="1" applyFont="1" applyFill="1" applyBorder="1" applyAlignment="1">
      <alignment horizontal="center"/>
    </xf>
    <xf numFmtId="0" fontId="44" fillId="3" borderId="1" xfId="0" applyFont="1" applyFill="1" applyBorder="1" applyAlignment="1">
      <alignment horizontal="center"/>
    </xf>
    <xf numFmtId="170" fontId="45" fillId="3" borderId="0" xfId="0" applyNumberFormat="1" applyFont="1" applyFill="1" applyAlignment="1">
      <alignment horizontal="left" wrapText="1"/>
    </xf>
    <xf numFmtId="0" fontId="5" fillId="3" borderId="0" xfId="0" applyFont="1" applyFill="1" applyAlignment="1">
      <alignment horizontal="right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right"/>
    </xf>
    <xf numFmtId="0" fontId="5" fillId="3" borderId="0" xfId="0" applyFont="1" applyFill="1" applyAlignment="1">
      <alignment horizontal="left"/>
    </xf>
    <xf numFmtId="0" fontId="36" fillId="3" borderId="0" xfId="0" applyFont="1" applyFill="1" applyAlignment="1">
      <alignment wrapText="1"/>
    </xf>
    <xf numFmtId="2" fontId="36" fillId="3" borderId="0" xfId="0" applyNumberFormat="1" applyFont="1" applyFill="1" applyAlignment="1">
      <alignment wrapText="1"/>
    </xf>
    <xf numFmtId="0" fontId="36" fillId="3" borderId="0" xfId="0" applyFont="1" applyFill="1" applyAlignment="1">
      <alignment horizontal="center" wrapText="1"/>
    </xf>
    <xf numFmtId="0" fontId="36" fillId="3" borderId="0" xfId="0" applyFont="1" applyFill="1" applyAlignment="1">
      <alignment horizontal="right"/>
    </xf>
    <xf numFmtId="0" fontId="46" fillId="3" borderId="0" xfId="0" applyFont="1" applyFill="1" applyAlignment="1">
      <alignment horizontal="left" wrapText="1"/>
    </xf>
    <xf numFmtId="0" fontId="14" fillId="3" borderId="0" xfId="0" applyFont="1" applyFill="1" applyAlignment="1">
      <alignment horizontal="center"/>
    </xf>
    <xf numFmtId="0" fontId="15" fillId="3" borderId="0" xfId="0" applyFont="1" applyFill="1" applyAlignment="1">
      <alignment horizontal="left"/>
    </xf>
    <xf numFmtId="0" fontId="39" fillId="3" borderId="0" xfId="0" applyFont="1" applyFill="1" applyAlignment="1">
      <alignment horizontal="center"/>
    </xf>
    <xf numFmtId="0" fontId="40" fillId="3" borderId="0" xfId="0" applyFont="1" applyFill="1" applyAlignment="1">
      <alignment horizontal="center"/>
    </xf>
    <xf numFmtId="0" fontId="48" fillId="3" borderId="0" xfId="0" applyFont="1" applyFill="1" applyAlignment="1">
      <alignment horizontal="left"/>
    </xf>
    <xf numFmtId="0" fontId="45" fillId="3" borderId="0" xfId="0" applyFont="1" applyFill="1" applyAlignment="1">
      <alignment horizontal="center"/>
    </xf>
    <xf numFmtId="0" fontId="79" fillId="3" borderId="0" xfId="0" applyFont="1" applyFill="1" applyAlignment="1">
      <alignment horizontal="left"/>
    </xf>
    <xf numFmtId="0" fontId="89" fillId="3" borderId="0" xfId="0" applyFont="1" applyFill="1" applyAlignment="1">
      <alignment horizontal="left"/>
    </xf>
    <xf numFmtId="0" fontId="18" fillId="3" borderId="0" xfId="0" applyFont="1" applyFill="1" applyAlignment="1">
      <alignment vertical="center" wrapText="1"/>
    </xf>
    <xf numFmtId="0" fontId="18" fillId="3" borderId="0" xfId="0" applyFont="1" applyFill="1"/>
    <xf numFmtId="0" fontId="90" fillId="3" borderId="0" xfId="0" applyFont="1" applyFill="1" applyAlignment="1">
      <alignment horizontal="center"/>
    </xf>
    <xf numFmtId="0" fontId="90" fillId="3" borderId="0" xfId="0" applyFont="1" applyFill="1" applyAlignment="1">
      <alignment horizontal="left"/>
    </xf>
    <xf numFmtId="0" fontId="18" fillId="3" borderId="0" xfId="0" applyFont="1" applyFill="1" applyAlignment="1">
      <alignment horizontal="center"/>
    </xf>
    <xf numFmtId="0" fontId="91" fillId="3" borderId="0" xfId="0" applyFont="1" applyFill="1" applyAlignment="1">
      <alignment horizontal="right"/>
    </xf>
    <xf numFmtId="0" fontId="91" fillId="3" borderId="0" xfId="0" applyFont="1" applyFill="1"/>
    <xf numFmtId="0" fontId="80" fillId="3" borderId="0" xfId="0" applyFont="1" applyFill="1" applyProtection="1">
      <protection locked="0" hidden="1"/>
    </xf>
    <xf numFmtId="0" fontId="0" fillId="3" borderId="0" xfId="0" applyFill="1" applyAlignment="1" applyProtection="1">
      <alignment horizontal="right"/>
      <protection locked="0" hidden="1"/>
    </xf>
    <xf numFmtId="0" fontId="6" fillId="3" borderId="0" xfId="0" applyFont="1" applyFill="1" applyProtection="1">
      <protection locked="0" hidden="1"/>
    </xf>
    <xf numFmtId="0" fontId="23" fillId="16" borderId="1" xfId="0" applyFont="1" applyFill="1" applyBorder="1" applyProtection="1">
      <protection locked="0"/>
    </xf>
    <xf numFmtId="0" fontId="47" fillId="3" borderId="1" xfId="0" applyFont="1" applyFill="1" applyBorder="1" applyAlignment="1" applyProtection="1">
      <alignment horizontal="right"/>
      <protection locked="0"/>
    </xf>
    <xf numFmtId="0" fontId="92" fillId="7" borderId="0" xfId="0" applyFont="1" applyFill="1"/>
    <xf numFmtId="0" fontId="5" fillId="2" borderId="17" xfId="0" applyFont="1" applyFill="1" applyBorder="1" applyAlignment="1">
      <alignment horizontal="center"/>
    </xf>
    <xf numFmtId="166" fontId="5" fillId="7" borderId="17" xfId="0" applyNumberFormat="1" applyFont="1" applyFill="1" applyBorder="1" applyAlignment="1">
      <alignment horizontal="center"/>
    </xf>
    <xf numFmtId="0" fontId="5" fillId="7" borderId="17" xfId="0" quotePrefix="1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93" fillId="2" borderId="0" xfId="0" applyFont="1" applyFill="1"/>
    <xf numFmtId="0" fontId="94" fillId="3" borderId="0" xfId="0" applyFont="1" applyFill="1"/>
    <xf numFmtId="0" fontId="94" fillId="3" borderId="0" xfId="0" applyFont="1" applyFill="1" applyAlignment="1">
      <alignment horizontal="right"/>
    </xf>
    <xf numFmtId="0" fontId="86" fillId="3" borderId="0" xfId="0" applyFont="1" applyFill="1"/>
    <xf numFmtId="0" fontId="101" fillId="3" borderId="0" xfId="0" applyFont="1" applyFill="1"/>
    <xf numFmtId="16" fontId="18" fillId="3" borderId="0" xfId="0" applyNumberFormat="1" applyFont="1" applyFill="1" applyAlignment="1" applyProtection="1">
      <alignment horizontal="left"/>
      <protection locked="0"/>
    </xf>
    <xf numFmtId="0" fontId="100" fillId="3" borderId="0" xfId="0" applyFont="1" applyFill="1"/>
    <xf numFmtId="1" fontId="18" fillId="3" borderId="0" xfId="0" applyNumberFormat="1" applyFont="1" applyFill="1" applyAlignment="1">
      <alignment horizontal="left"/>
    </xf>
    <xf numFmtId="0" fontId="18" fillId="3" borderId="0" xfId="0" applyFont="1" applyFill="1" applyAlignment="1">
      <alignment horizontal="left"/>
    </xf>
    <xf numFmtId="0" fontId="89" fillId="3" borderId="0" xfId="0" applyFont="1" applyFill="1"/>
    <xf numFmtId="14" fontId="90" fillId="3" borderId="0" xfId="0" applyNumberFormat="1" applyFont="1" applyFill="1"/>
    <xf numFmtId="174" fontId="18" fillId="3" borderId="0" xfId="2" applyNumberFormat="1" applyFont="1" applyFill="1" applyBorder="1" applyAlignment="1">
      <alignment horizontal="center"/>
    </xf>
    <xf numFmtId="9" fontId="18" fillId="3" borderId="0" xfId="0" applyNumberFormat="1" applyFont="1" applyFill="1"/>
    <xf numFmtId="0" fontId="90" fillId="3" borderId="0" xfId="0" applyFont="1" applyFill="1"/>
    <xf numFmtId="2" fontId="18" fillId="3" borderId="0" xfId="0" applyNumberFormat="1" applyFont="1" applyFill="1"/>
    <xf numFmtId="0" fontId="102" fillId="3" borderId="0" xfId="0" applyFont="1" applyFill="1"/>
    <xf numFmtId="1" fontId="18" fillId="3" borderId="0" xfId="0" applyNumberFormat="1" applyFont="1" applyFill="1"/>
    <xf numFmtId="9" fontId="18" fillId="3" borderId="0" xfId="2" applyFont="1" applyFill="1" applyBorder="1"/>
    <xf numFmtId="0" fontId="103" fillId="3" borderId="0" xfId="0" applyFont="1" applyFill="1"/>
    <xf numFmtId="9" fontId="18" fillId="3" borderId="0" xfId="0" applyNumberFormat="1" applyFont="1" applyFill="1" applyAlignment="1">
      <alignment horizontal="center"/>
    </xf>
    <xf numFmtId="9" fontId="18" fillId="3" borderId="0" xfId="2" applyFont="1" applyFill="1" applyBorder="1" applyAlignment="1">
      <alignment horizontal="center"/>
    </xf>
    <xf numFmtId="0" fontId="102" fillId="3" borderId="0" xfId="0" quotePrefix="1" applyFont="1" applyFill="1"/>
    <xf numFmtId="0" fontId="18" fillId="3" borderId="0" xfId="0" applyFont="1" applyFill="1" applyAlignment="1">
      <alignment horizontal="right"/>
    </xf>
    <xf numFmtId="0" fontId="105" fillId="3" borderId="0" xfId="0" applyFont="1" applyFill="1"/>
    <xf numFmtId="2" fontId="102" fillId="3" borderId="0" xfId="0" applyNumberFormat="1" applyFont="1" applyFill="1"/>
    <xf numFmtId="0" fontId="18" fillId="3" borderId="0" xfId="0" quotePrefix="1" applyFont="1" applyFill="1"/>
    <xf numFmtId="0" fontId="106" fillId="3" borderId="0" xfId="0" applyFont="1" applyFill="1"/>
    <xf numFmtId="164" fontId="18" fillId="3" borderId="0" xfId="0" applyNumberFormat="1" applyFont="1" applyFill="1"/>
    <xf numFmtId="164" fontId="86" fillId="3" borderId="0" xfId="0" applyNumberFormat="1" applyFont="1" applyFill="1" applyAlignment="1">
      <alignment horizontal="center"/>
    </xf>
    <xf numFmtId="2" fontId="91" fillId="3" borderId="0" xfId="0" applyNumberFormat="1" applyFont="1" applyFill="1" applyAlignment="1">
      <alignment horizontal="center"/>
    </xf>
    <xf numFmtId="0" fontId="109" fillId="3" borderId="0" xfId="0" applyFont="1" applyFill="1"/>
    <xf numFmtId="9" fontId="91" fillId="3" borderId="0" xfId="0" applyNumberFormat="1" applyFont="1" applyFill="1" applyAlignment="1">
      <alignment horizontal="center"/>
    </xf>
    <xf numFmtId="0" fontId="91" fillId="3" borderId="0" xfId="0" applyFont="1" applyFill="1" applyAlignment="1">
      <alignment horizontal="center"/>
    </xf>
    <xf numFmtId="172" fontId="18" fillId="3" borderId="0" xfId="0" applyNumberFormat="1" applyFont="1" applyFill="1"/>
    <xf numFmtId="0" fontId="110" fillId="3" borderId="0" xfId="0" applyFont="1" applyFill="1"/>
    <xf numFmtId="0" fontId="90" fillId="3" borderId="0" xfId="0" applyFont="1" applyFill="1" applyAlignment="1">
      <alignment horizontal="right"/>
    </xf>
    <xf numFmtId="0" fontId="111" fillId="3" borderId="0" xfId="0" applyFont="1" applyFill="1" applyAlignment="1">
      <alignment horizontal="center"/>
    </xf>
    <xf numFmtId="0" fontId="111" fillId="3" borderId="0" xfId="0" applyFont="1" applyFill="1"/>
    <xf numFmtId="165" fontId="112" fillId="3" borderId="0" xfId="1" applyFont="1" applyFill="1" applyBorder="1" applyAlignment="1" applyProtection="1"/>
    <xf numFmtId="0" fontId="98" fillId="3" borderId="0" xfId="0" applyFont="1" applyFill="1"/>
    <xf numFmtId="14" fontId="18" fillId="3" borderId="0" xfId="0" applyNumberFormat="1" applyFont="1" applyFill="1"/>
    <xf numFmtId="0" fontId="18" fillId="3" borderId="0" xfId="0" applyFont="1" applyFill="1" applyAlignment="1">
      <alignment vertical="center"/>
    </xf>
    <xf numFmtId="0" fontId="104" fillId="3" borderId="0" xfId="0" applyFont="1" applyFill="1" applyAlignment="1">
      <alignment horizontal="center"/>
    </xf>
    <xf numFmtId="2" fontId="102" fillId="3" borderId="0" xfId="0" applyNumberFormat="1" applyFont="1" applyFill="1" applyAlignment="1">
      <alignment horizontal="center"/>
    </xf>
    <xf numFmtId="166" fontId="18" fillId="3" borderId="0" xfId="0" applyNumberFormat="1" applyFont="1" applyFill="1"/>
    <xf numFmtId="166" fontId="18" fillId="3" borderId="0" xfId="0" applyNumberFormat="1" applyFont="1" applyFill="1" applyAlignment="1">
      <alignment horizontal="center"/>
    </xf>
    <xf numFmtId="2" fontId="18" fillId="3" borderId="0" xfId="0" applyNumberFormat="1" applyFont="1" applyFill="1" applyAlignment="1">
      <alignment horizontal="center"/>
    </xf>
    <xf numFmtId="1" fontId="86" fillId="3" borderId="0" xfId="0" applyNumberFormat="1" applyFont="1" applyFill="1" applyAlignment="1">
      <alignment horizontal="center"/>
    </xf>
    <xf numFmtId="44" fontId="18" fillId="3" borderId="0" xfId="0" applyNumberFormat="1" applyFont="1" applyFill="1"/>
    <xf numFmtId="1" fontId="94" fillId="3" borderId="0" xfId="0" applyNumberFormat="1" applyFont="1" applyFill="1" applyAlignment="1" applyProtection="1">
      <alignment horizontal="center"/>
      <protection locked="0"/>
    </xf>
    <xf numFmtId="2" fontId="86" fillId="3" borderId="0" xfId="0" applyNumberFormat="1" applyFont="1" applyFill="1"/>
    <xf numFmtId="164" fontId="90" fillId="3" borderId="0" xfId="0" applyNumberFormat="1" applyFont="1" applyFill="1"/>
    <xf numFmtId="172" fontId="86" fillId="3" borderId="0" xfId="0" applyNumberFormat="1" applyFont="1" applyFill="1"/>
    <xf numFmtId="167" fontId="18" fillId="3" borderId="0" xfId="0" applyNumberFormat="1" applyFont="1" applyFill="1"/>
    <xf numFmtId="0" fontId="86" fillId="3" borderId="0" xfId="0" applyFont="1" applyFill="1" applyAlignment="1">
      <alignment horizontal="right"/>
    </xf>
    <xf numFmtId="0" fontId="102" fillId="3" borderId="0" xfId="0" applyFont="1" applyFill="1" applyAlignment="1">
      <alignment horizontal="center"/>
    </xf>
    <xf numFmtId="0" fontId="100" fillId="3" borderId="0" xfId="0" applyFont="1" applyFill="1" applyAlignment="1">
      <alignment horizontal="left" vertical="center" wrapText="1" indent="1"/>
    </xf>
    <xf numFmtId="0" fontId="18" fillId="3" borderId="0" xfId="0" applyFont="1" applyFill="1" applyAlignment="1">
      <alignment horizontal="center" vertical="center" wrapText="1"/>
    </xf>
    <xf numFmtId="9" fontId="18" fillId="3" borderId="0" xfId="0" applyNumberFormat="1" applyFont="1" applyFill="1" applyAlignment="1">
      <alignment horizontal="left" vertical="center" wrapText="1" indent="1"/>
    </xf>
    <xf numFmtId="9" fontId="18" fillId="3" borderId="0" xfId="0" applyNumberFormat="1" applyFont="1" applyFill="1" applyAlignment="1">
      <alignment horizontal="center" vertical="center" wrapText="1"/>
    </xf>
    <xf numFmtId="0" fontId="86" fillId="3" borderId="0" xfId="0" applyFont="1" applyFill="1" applyAlignment="1">
      <alignment horizontal="center"/>
    </xf>
    <xf numFmtId="0" fontId="86" fillId="3" borderId="0" xfId="0" quotePrefix="1" applyFont="1" applyFill="1" applyAlignment="1">
      <alignment horizontal="center"/>
    </xf>
    <xf numFmtId="0" fontId="18" fillId="3" borderId="0" xfId="0" quotePrefix="1" applyFont="1" applyFill="1" applyAlignment="1">
      <alignment horizontal="center"/>
    </xf>
    <xf numFmtId="168" fontId="18" fillId="3" borderId="0" xfId="0" applyNumberFormat="1" applyFont="1" applyFill="1" applyAlignment="1">
      <alignment horizontal="center"/>
    </xf>
    <xf numFmtId="9" fontId="18" fillId="3" borderId="0" xfId="0" quotePrefix="1" applyNumberFormat="1" applyFont="1" applyFill="1" applyAlignment="1">
      <alignment horizontal="center"/>
    </xf>
    <xf numFmtId="9" fontId="18" fillId="3" borderId="0" xfId="2" quotePrefix="1" applyFont="1" applyFill="1" applyBorder="1" applyAlignment="1">
      <alignment horizontal="center"/>
    </xf>
    <xf numFmtId="2" fontId="18" fillId="3" borderId="0" xfId="0" quotePrefix="1" applyNumberFormat="1" applyFont="1" applyFill="1" applyAlignment="1">
      <alignment horizontal="center"/>
    </xf>
    <xf numFmtId="0" fontId="18" fillId="3" borderId="0" xfId="0" applyFont="1" applyFill="1" applyProtection="1">
      <protection locked="0"/>
    </xf>
    <xf numFmtId="14" fontId="94" fillId="3" borderId="0" xfId="0" applyNumberFormat="1" applyFont="1" applyFill="1" applyProtection="1">
      <protection locked="0"/>
    </xf>
    <xf numFmtId="0" fontId="95" fillId="3" borderId="0" xfId="0" applyFont="1" applyFill="1" applyProtection="1">
      <protection locked="0"/>
    </xf>
    <xf numFmtId="0" fontId="96" fillId="3" borderId="0" xfId="0" applyFont="1" applyFill="1" applyProtection="1">
      <protection locked="0"/>
    </xf>
    <xf numFmtId="0" fontId="97" fillId="3" borderId="0" xfId="0" applyFont="1" applyFill="1" applyAlignment="1" applyProtection="1">
      <alignment wrapText="1"/>
      <protection locked="0"/>
    </xf>
    <xf numFmtId="0" fontId="94" fillId="3" borderId="0" xfId="0" applyFont="1" applyFill="1" applyProtection="1">
      <protection locked="0"/>
    </xf>
    <xf numFmtId="0" fontId="98" fillId="3" borderId="0" xfId="0" applyFont="1" applyFill="1" applyProtection="1">
      <protection locked="0"/>
    </xf>
    <xf numFmtId="0" fontId="94" fillId="3" borderId="0" xfId="0" applyFont="1" applyFill="1" applyAlignment="1" applyProtection="1">
      <alignment horizontal="right"/>
      <protection locked="0"/>
    </xf>
    <xf numFmtId="166" fontId="94" fillId="3" borderId="0" xfId="0" applyNumberFormat="1" applyFont="1" applyFill="1" applyProtection="1">
      <protection locked="0"/>
    </xf>
    <xf numFmtId="0" fontId="99" fillId="3" borderId="0" xfId="0" applyFont="1" applyFill="1" applyAlignment="1" applyProtection="1">
      <alignment horizontal="center"/>
      <protection locked="0"/>
    </xf>
    <xf numFmtId="0" fontId="18" fillId="3" borderId="0" xfId="0" applyFont="1" applyFill="1" applyAlignment="1" applyProtection="1">
      <alignment horizontal="center"/>
      <protection locked="0"/>
    </xf>
    <xf numFmtId="0" fontId="94" fillId="3" borderId="0" xfId="0" applyFont="1" applyFill="1" applyAlignment="1" applyProtection="1">
      <alignment horizontal="center"/>
      <protection locked="0"/>
    </xf>
    <xf numFmtId="0" fontId="94" fillId="3" borderId="0" xfId="0" applyFont="1" applyFill="1" applyAlignment="1" applyProtection="1">
      <alignment horizontal="left"/>
      <protection locked="0"/>
    </xf>
    <xf numFmtId="0" fontId="94" fillId="3" borderId="0" xfId="0" quotePrefix="1" applyFont="1" applyFill="1" applyProtection="1">
      <protection locked="0"/>
    </xf>
    <xf numFmtId="1" fontId="94" fillId="3" borderId="0" xfId="0" applyNumberFormat="1" applyFont="1" applyFill="1" applyProtection="1">
      <protection locked="0"/>
    </xf>
    <xf numFmtId="1" fontId="103" fillId="3" borderId="0" xfId="0" applyNumberFormat="1" applyFont="1" applyFill="1" applyAlignment="1" applyProtection="1">
      <alignment horizontal="left"/>
      <protection locked="0"/>
    </xf>
    <xf numFmtId="0" fontId="103" fillId="3" borderId="0" xfId="0" applyFont="1" applyFill="1" applyProtection="1">
      <protection locked="0"/>
    </xf>
    <xf numFmtId="0" fontId="107" fillId="3" borderId="0" xfId="0" applyFont="1" applyFill="1" applyProtection="1">
      <protection locked="0"/>
    </xf>
    <xf numFmtId="0" fontId="18" fillId="3" borderId="0" xfId="0" applyFont="1" applyFill="1" applyAlignment="1" applyProtection="1">
      <alignment horizontal="right"/>
      <protection locked="0"/>
    </xf>
    <xf numFmtId="9" fontId="94" fillId="3" borderId="0" xfId="2" applyFont="1" applyFill="1" applyBorder="1" applyAlignment="1" applyProtection="1">
      <alignment horizontal="center"/>
      <protection locked="0"/>
    </xf>
    <xf numFmtId="0" fontId="86" fillId="3" borderId="0" xfId="0" applyFont="1" applyFill="1" applyProtection="1">
      <protection locked="0"/>
    </xf>
    <xf numFmtId="1" fontId="94" fillId="3" borderId="0" xfId="0" applyNumberFormat="1" applyFont="1" applyFill="1" applyAlignment="1" applyProtection="1">
      <alignment horizontal="left"/>
      <protection locked="0"/>
    </xf>
    <xf numFmtId="1" fontId="94" fillId="3" borderId="0" xfId="0" applyNumberFormat="1" applyFont="1" applyFill="1" applyAlignment="1" applyProtection="1">
      <alignment horizontal="right"/>
      <protection locked="0"/>
    </xf>
    <xf numFmtId="9" fontId="18" fillId="3" borderId="0" xfId="0" applyNumberFormat="1" applyFont="1" applyFill="1" applyProtection="1">
      <protection locked="0"/>
    </xf>
    <xf numFmtId="2" fontId="94" fillId="3" borderId="0" xfId="0" applyNumberFormat="1" applyFont="1" applyFill="1" applyProtection="1">
      <protection locked="0"/>
    </xf>
    <xf numFmtId="2" fontId="18" fillId="3" borderId="0" xfId="0" applyNumberFormat="1" applyFont="1" applyFill="1" applyAlignment="1" applyProtection="1">
      <alignment horizontal="right"/>
      <protection locked="0"/>
    </xf>
    <xf numFmtId="2" fontId="18" fillId="3" borderId="0" xfId="0" applyNumberFormat="1" applyFont="1" applyFill="1" applyProtection="1">
      <protection locked="0"/>
    </xf>
    <xf numFmtId="0" fontId="97" fillId="3" borderId="0" xfId="0" applyFont="1" applyFill="1" applyAlignment="1" applyProtection="1">
      <alignment horizontal="right" wrapText="1"/>
      <protection locked="0"/>
    </xf>
    <xf numFmtId="0" fontId="97" fillId="3" borderId="0" xfId="0" applyFont="1" applyFill="1" applyProtection="1">
      <protection locked="0"/>
    </xf>
    <xf numFmtId="10" fontId="94" fillId="3" borderId="0" xfId="0" applyNumberFormat="1" applyFont="1" applyFill="1" applyProtection="1">
      <protection locked="0"/>
    </xf>
    <xf numFmtId="1" fontId="94" fillId="3" borderId="0" xfId="0" quotePrefix="1" applyNumberFormat="1" applyFont="1" applyFill="1" applyAlignment="1" applyProtection="1">
      <alignment horizontal="left"/>
      <protection locked="0"/>
    </xf>
    <xf numFmtId="0" fontId="91" fillId="3" borderId="0" xfId="0" applyFont="1" applyFill="1" applyProtection="1">
      <protection locked="0"/>
    </xf>
    <xf numFmtId="1" fontId="18" fillId="3" borderId="0" xfId="0" applyNumberFormat="1" applyFont="1" applyFill="1" applyProtection="1">
      <protection locked="0"/>
    </xf>
    <xf numFmtId="166" fontId="94" fillId="3" borderId="0" xfId="2" applyNumberFormat="1" applyFont="1" applyFill="1" applyBorder="1" applyProtection="1">
      <protection locked="0"/>
    </xf>
    <xf numFmtId="0" fontId="97" fillId="3" borderId="0" xfId="0" applyFont="1" applyFill="1" applyAlignment="1" applyProtection="1">
      <alignment vertical="center" wrapText="1"/>
      <protection locked="0"/>
    </xf>
    <xf numFmtId="0" fontId="113" fillId="3" borderId="0" xfId="0" applyFont="1" applyFill="1" applyProtection="1">
      <protection locked="0"/>
    </xf>
    <xf numFmtId="0" fontId="86" fillId="3" borderId="0" xfId="0" applyFont="1" applyFill="1" applyAlignment="1" applyProtection="1">
      <alignment horizontal="center"/>
      <protection locked="0"/>
    </xf>
    <xf numFmtId="0" fontId="86" fillId="3" borderId="0" xfId="0" quotePrefix="1" applyFont="1" applyFill="1" applyAlignment="1" applyProtection="1">
      <alignment horizontal="center"/>
      <protection locked="0"/>
    </xf>
    <xf numFmtId="0" fontId="90" fillId="3" borderId="0" xfId="0" applyFont="1" applyFill="1" applyAlignment="1" applyProtection="1">
      <alignment horizontal="left"/>
      <protection locked="0"/>
    </xf>
    <xf numFmtId="0" fontId="18" fillId="3" borderId="0" xfId="0" quotePrefix="1" applyFont="1" applyFill="1" applyAlignment="1" applyProtection="1">
      <alignment horizontal="center"/>
      <protection locked="0"/>
    </xf>
    <xf numFmtId="0" fontId="106" fillId="3" borderId="0" xfId="0" applyFont="1" applyFill="1" applyAlignment="1" applyProtection="1">
      <alignment horizontal="left"/>
      <protection locked="0"/>
    </xf>
    <xf numFmtId="0" fontId="90" fillId="3" borderId="0" xfId="0" applyFont="1" applyFill="1" applyAlignment="1" applyProtection="1">
      <alignment horizontal="center"/>
      <protection locked="0"/>
    </xf>
    <xf numFmtId="168" fontId="18" fillId="3" borderId="0" xfId="0" applyNumberFormat="1" applyFont="1" applyFill="1" applyAlignment="1" applyProtection="1">
      <alignment horizontal="center"/>
      <protection locked="0"/>
    </xf>
    <xf numFmtId="166" fontId="18" fillId="3" borderId="0" xfId="0" applyNumberFormat="1" applyFont="1" applyFill="1" applyAlignment="1" applyProtection="1">
      <alignment horizontal="center"/>
      <protection locked="0"/>
    </xf>
    <xf numFmtId="2" fontId="18" fillId="3" borderId="0" xfId="0" applyNumberFormat="1" applyFont="1" applyFill="1" applyAlignment="1" applyProtection="1">
      <alignment horizontal="center"/>
      <protection locked="0"/>
    </xf>
    <xf numFmtId="0" fontId="18" fillId="3" borderId="0" xfId="0" quotePrefix="1" applyFont="1" applyFill="1" applyAlignment="1" applyProtection="1">
      <alignment horizontal="right"/>
      <protection locked="0"/>
    </xf>
    <xf numFmtId="2" fontId="114" fillId="5" borderId="19" xfId="0" applyNumberFormat="1" applyFont="1" applyFill="1" applyBorder="1" applyAlignment="1">
      <alignment horizontal="center"/>
    </xf>
    <xf numFmtId="9" fontId="86" fillId="18" borderId="0" xfId="0" applyNumberFormat="1" applyFont="1" applyFill="1" applyAlignment="1">
      <alignment horizontal="center" vertical="center"/>
    </xf>
    <xf numFmtId="0" fontId="43" fillId="3" borderId="0" xfId="0" applyFont="1" applyFill="1" applyAlignment="1">
      <alignment horizontal="center"/>
    </xf>
    <xf numFmtId="0" fontId="25" fillId="3" borderId="7" xfId="0" applyFont="1" applyFill="1" applyBorder="1" applyAlignment="1">
      <alignment horizontal="center"/>
    </xf>
    <xf numFmtId="0" fontId="25" fillId="3" borderId="0" xfId="0" applyFont="1" applyFill="1" applyAlignment="1">
      <alignment horizontal="center"/>
    </xf>
    <xf numFmtId="0" fontId="24" fillId="5" borderId="3" xfId="0" applyFont="1" applyFill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/>
    </xf>
    <xf numFmtId="9" fontId="9" fillId="2" borderId="0" xfId="0" applyNumberFormat="1" applyFont="1" applyFill="1" applyAlignment="1">
      <alignment horizontal="center" vertical="center"/>
    </xf>
    <xf numFmtId="0" fontId="44" fillId="3" borderId="3" xfId="0" applyFont="1" applyFill="1" applyBorder="1" applyAlignment="1" applyProtection="1">
      <alignment horizontal="left"/>
      <protection locked="0"/>
    </xf>
    <xf numFmtId="0" fontId="44" fillId="3" borderId="14" xfId="0" applyFont="1" applyFill="1" applyBorder="1" applyAlignment="1" applyProtection="1">
      <alignment horizontal="left"/>
      <protection locked="0"/>
    </xf>
    <xf numFmtId="0" fontId="44" fillId="3" borderId="15" xfId="0" applyFont="1" applyFill="1" applyBorder="1" applyAlignment="1" applyProtection="1">
      <alignment horizontal="left"/>
      <protection locked="0"/>
    </xf>
    <xf numFmtId="0" fontId="67" fillId="12" borderId="0" xfId="0" applyFont="1" applyFill="1" applyAlignment="1">
      <alignment horizontal="center" vertical="center"/>
    </xf>
    <xf numFmtId="1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1" xfId="0" applyFont="1" applyBorder="1"/>
    <xf numFmtId="0" fontId="47" fillId="3" borderId="1" xfId="0" applyFont="1" applyFill="1" applyBorder="1" applyAlignment="1">
      <alignment horizontal="center" vertical="center" wrapText="1"/>
    </xf>
    <xf numFmtId="0" fontId="28" fillId="9" borderId="17" xfId="0" applyFont="1" applyFill="1" applyBorder="1" applyAlignment="1">
      <alignment horizontal="center" vertical="center" textRotation="90"/>
    </xf>
    <xf numFmtId="0" fontId="65" fillId="0" borderId="0" xfId="0" applyFont="1" applyAlignment="1">
      <alignment horizontal="left" vertical="top" wrapText="1"/>
    </xf>
    <xf numFmtId="0" fontId="38" fillId="11" borderId="1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4" fillId="3" borderId="0" xfId="0" applyFont="1" applyFill="1" applyAlignment="1" applyProtection="1">
      <alignment horizontal="center"/>
      <protection locked="0"/>
    </xf>
    <xf numFmtId="0" fontId="18" fillId="3" borderId="0" xfId="0" applyFont="1" applyFill="1" applyAlignment="1">
      <alignment horizontal="center"/>
    </xf>
    <xf numFmtId="0" fontId="100" fillId="3" borderId="0" xfId="0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18" fillId="3" borderId="0" xfId="0" applyFont="1" applyFill="1" applyAlignment="1">
      <alignment horizontal="left" vertical="top" wrapText="1"/>
    </xf>
    <xf numFmtId="0" fontId="105" fillId="3" borderId="0" xfId="0" applyFont="1" applyFill="1" applyAlignment="1">
      <alignment horizontal="center" vertical="center" wrapText="1"/>
    </xf>
    <xf numFmtId="0" fontId="86" fillId="3" borderId="0" xfId="0" applyFont="1" applyFill="1" applyAlignment="1">
      <alignment horizontal="center" vertical="center" wrapText="1"/>
    </xf>
    <xf numFmtId="0" fontId="86" fillId="3" borderId="0" xfId="0" applyFont="1" applyFill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7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fgColor theme="0"/>
          <bgColor theme="0"/>
        </patternFill>
      </fill>
    </dxf>
  </dxfs>
  <tableStyles count="0" defaultTableStyle="TableStyleMedium2" defaultPivotStyle="PivotStyleMedium9"/>
  <colors>
    <mruColors>
      <color rgb="FFD6A300"/>
      <color rgb="FFFFFFFF"/>
      <color rgb="FFFCEC74"/>
      <color rgb="FFC25956"/>
      <color rgb="FF6893C6"/>
      <color rgb="FFB84542"/>
      <color rgb="FFC09200"/>
      <color rgb="FFC89800"/>
      <color rgb="FFFEF8CA"/>
      <color rgb="FF6688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2000" b="0">
                <a:latin typeface="+mn-lt"/>
              </a:rPr>
              <a:t>Estimated Solar Power Generation + Use/day</a:t>
            </a:r>
          </a:p>
        </c:rich>
      </c:tx>
      <c:layout>
        <c:manualLayout>
          <c:xMode val="edge"/>
          <c:yMode val="edge"/>
          <c:x val="0.19394270122783083"/>
          <c:y val="2.768166089965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66281738657157"/>
          <c:y val="0.16853517877739332"/>
          <c:w val="0.8765090789299359"/>
          <c:h val="0.58392828924066154"/>
        </c:manualLayout>
      </c:layout>
      <c:areaChart>
        <c:grouping val="standard"/>
        <c:varyColors val="0"/>
        <c:ser>
          <c:idx val="2"/>
          <c:order val="4"/>
          <c:tx>
            <c:v>Array.1</c:v>
          </c:tx>
          <c:spPr>
            <a:solidFill>
              <a:srgbClr val="FBE64B">
                <a:alpha val="69804"/>
              </a:srgbClr>
            </a:solidFill>
            <a:ln>
              <a:noFill/>
            </a:ln>
            <a:effectLst/>
          </c:spPr>
          <c:val>
            <c:numRef>
              <c:f>'-calcs-'!$N$26:$Y$26</c:f>
              <c:numCache>
                <c:formatCode>0.0</c:formatCode>
                <c:ptCount val="12"/>
                <c:pt idx="0">
                  <c:v>34.368305424742402</c:v>
                </c:pt>
                <c:pt idx="1">
                  <c:v>31.575880608982075</c:v>
                </c:pt>
                <c:pt idx="2">
                  <c:v>29.12713884746918</c:v>
                </c:pt>
                <c:pt idx="3">
                  <c:v>25.303664868966585</c:v>
                </c:pt>
                <c:pt idx="4">
                  <c:v>21.33519960195337</c:v>
                </c:pt>
                <c:pt idx="5">
                  <c:v>18.301122638675327</c:v>
                </c:pt>
                <c:pt idx="6">
                  <c:v>20.443771679999113</c:v>
                </c:pt>
                <c:pt idx="7">
                  <c:v>25.131823341842882</c:v>
                </c:pt>
                <c:pt idx="8">
                  <c:v>29.529892426665384</c:v>
                </c:pt>
                <c:pt idx="9">
                  <c:v>32.177325953915073</c:v>
                </c:pt>
                <c:pt idx="10">
                  <c:v>32.542489199052959</c:v>
                </c:pt>
                <c:pt idx="11">
                  <c:v>34.207203993063921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DE90-449C-AAC3-778494ED5C84}"/>
            </c:ext>
          </c:extLst>
        </c:ser>
        <c:ser>
          <c:idx val="5"/>
          <c:order val="5"/>
          <c:tx>
            <c:v>Array.2</c:v>
          </c:tx>
          <c:spPr>
            <a:solidFill>
              <a:srgbClr val="FFD13F">
                <a:alpha val="69804"/>
              </a:srgbClr>
            </a:solidFill>
            <a:ln>
              <a:noFill/>
            </a:ln>
            <a:effectLst/>
          </c:spPr>
          <c:val>
            <c:numRef>
              <c:f>'-calcs-'!$N$127:$Y$127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5622-42FB-9593-D32104670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5362448"/>
        <c:axId val="1687290720"/>
        <c:extLst/>
      </c:areaChart>
      <c:lineChart>
        <c:grouping val="standard"/>
        <c:varyColors val="0"/>
        <c:ser>
          <c:idx val="0"/>
          <c:order val="1"/>
          <c:tx>
            <c:v>Solar Pwr Array 2</c:v>
          </c:tx>
          <c:spPr>
            <a:ln w="31750" cap="rnd">
              <a:solidFill>
                <a:schemeClr val="accent5">
                  <a:lumMod val="75000"/>
                  <a:alpha val="7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cat>
            <c:strRef>
              <c:f>Calculator!$N$17:$Z$17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Ave</c:v>
                </c:pt>
              </c:strCache>
            </c:strRef>
          </c:cat>
          <c:val>
            <c:numRef>
              <c:f>'-calcs-'!$N$127:$Y$127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F50C-41A0-8CB8-E6D60F2139D6}"/>
            </c:ext>
          </c:extLst>
        </c:ser>
        <c:ser>
          <c:idx val="3"/>
          <c:order val="2"/>
          <c:tx>
            <c:v>Solar Pwr Array 1+2</c:v>
          </c:tx>
          <c:spPr>
            <a:ln w="31750" cap="rnd">
              <a:solidFill>
                <a:srgbClr val="D6A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2.5835884304816075E-2"/>
                  <c:y val="-4.5594093125902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81-484C-A4A4-C49D02B45E3E}"/>
                </c:ext>
              </c:extLst>
            </c:dLbl>
            <c:dLbl>
              <c:idx val="1"/>
              <c:layout>
                <c:manualLayout>
                  <c:x val="-2.5835884304816106E-2"/>
                  <c:y val="-4.5594093125902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81-484C-A4A4-C49D02B45E3E}"/>
                </c:ext>
              </c:extLst>
            </c:dLbl>
            <c:dLbl>
              <c:idx val="2"/>
              <c:layout>
                <c:manualLayout>
                  <c:x val="-2.5835884304816075E-2"/>
                  <c:y val="-4.5594093125902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81-484C-A4A4-C49D02B45E3E}"/>
                </c:ext>
              </c:extLst>
            </c:dLbl>
            <c:dLbl>
              <c:idx val="3"/>
              <c:layout>
                <c:manualLayout>
                  <c:x val="-2.5835884304816075E-2"/>
                  <c:y val="-4.0980482975960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81-484C-A4A4-C49D02B45E3E}"/>
                </c:ext>
              </c:extLst>
            </c:dLbl>
            <c:dLbl>
              <c:idx val="4"/>
              <c:layout>
                <c:manualLayout>
                  <c:x val="-2.5835884304816075E-2"/>
                  <c:y val="-4.0980482975960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81-484C-A4A4-C49D02B45E3E}"/>
                </c:ext>
              </c:extLst>
            </c:dLbl>
            <c:dLbl>
              <c:idx val="5"/>
              <c:layout>
                <c:manualLayout>
                  <c:x val="-2.5835884304816075E-2"/>
                  <c:y val="-4.0980482975960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81-484C-A4A4-C49D02B45E3E}"/>
                </c:ext>
              </c:extLst>
            </c:dLbl>
            <c:dLbl>
              <c:idx val="6"/>
              <c:layout>
                <c:manualLayout>
                  <c:x val="-2.5835884304816075E-2"/>
                  <c:y val="-4.0980482975960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81-484C-A4A4-C49D02B45E3E}"/>
                </c:ext>
              </c:extLst>
            </c:dLbl>
            <c:dLbl>
              <c:idx val="7"/>
              <c:layout>
                <c:manualLayout>
                  <c:x val="-2.5835884304816075E-2"/>
                  <c:y val="-3.636687282601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81-484C-A4A4-C49D02B45E3E}"/>
                </c:ext>
              </c:extLst>
            </c:dLbl>
            <c:dLbl>
              <c:idx val="8"/>
              <c:layout>
                <c:manualLayout>
                  <c:x val="-2.5835884304816075E-2"/>
                  <c:y val="-4.0980482975960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81-484C-A4A4-C49D02B45E3E}"/>
                </c:ext>
              </c:extLst>
            </c:dLbl>
            <c:dLbl>
              <c:idx val="9"/>
              <c:layout>
                <c:manualLayout>
                  <c:x val="-2.4178943359626628E-2"/>
                  <c:y val="-4.0980482975960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81-484C-A4A4-C49D02B45E3E}"/>
                </c:ext>
              </c:extLst>
            </c:dLbl>
            <c:dLbl>
              <c:idx val="10"/>
              <c:layout>
                <c:manualLayout>
                  <c:x val="-2.4178943359626507E-2"/>
                  <c:y val="-4.5594093125902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81-484C-A4A4-C49D02B45E3E}"/>
                </c:ext>
              </c:extLst>
            </c:dLbl>
            <c:dLbl>
              <c:idx val="11"/>
              <c:layout>
                <c:manualLayout>
                  <c:x val="-3.0806707140384779E-2"/>
                  <c:y val="-4.5594093125902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81-484C-A4A4-C49D02B45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D6A3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'-calcs-'!$N$26:$Y$26</c:f>
              <c:numCache>
                <c:formatCode>0.0</c:formatCode>
                <c:ptCount val="12"/>
                <c:pt idx="0">
                  <c:v>34.368305424742402</c:v>
                </c:pt>
                <c:pt idx="1">
                  <c:v>31.575880608982075</c:v>
                </c:pt>
                <c:pt idx="2">
                  <c:v>29.12713884746918</c:v>
                </c:pt>
                <c:pt idx="3">
                  <c:v>25.303664868966585</c:v>
                </c:pt>
                <c:pt idx="4">
                  <c:v>21.33519960195337</c:v>
                </c:pt>
                <c:pt idx="5">
                  <c:v>18.301122638675327</c:v>
                </c:pt>
                <c:pt idx="6">
                  <c:v>20.443771679999113</c:v>
                </c:pt>
                <c:pt idx="7">
                  <c:v>25.131823341842882</c:v>
                </c:pt>
                <c:pt idx="8">
                  <c:v>29.529892426665384</c:v>
                </c:pt>
                <c:pt idx="9">
                  <c:v>32.177325953915073</c:v>
                </c:pt>
                <c:pt idx="10">
                  <c:v>32.542489199052959</c:v>
                </c:pt>
                <c:pt idx="11">
                  <c:v>34.207203993063921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D52D-4B70-BAFC-37D4619CA820}"/>
            </c:ext>
          </c:extLst>
        </c:ser>
        <c:ser>
          <c:idx val="1"/>
          <c:order val="3"/>
          <c:tx>
            <c:v>Daily Pwr Use</c:v>
          </c:tx>
          <c:spPr>
            <a:ln w="38100" cap="rnd">
              <a:solidFill>
                <a:schemeClr val="accent2">
                  <a:alpha val="6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4"/>
            <c:spPr>
              <a:noFill/>
              <a:ln w="9525">
                <a:noFill/>
              </a:ln>
              <a:effectLst/>
            </c:spPr>
          </c:marker>
          <c:cat>
            <c:strRef>
              <c:f>Calculator!$N$17:$Z$17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Ave</c:v>
                </c:pt>
              </c:strCache>
            </c:strRef>
          </c:cat>
          <c:val>
            <c:numRef>
              <c:f>'-calcs-'!$N$29:$Z$29</c:f>
              <c:numCache>
                <c:formatCode>0.00</c:formatCode>
                <c:ptCount val="13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0C-41A0-8CB8-E6D60F2139D6}"/>
            </c:ext>
          </c:extLst>
        </c:ser>
        <c:ser>
          <c:idx val="7"/>
          <c:order val="6"/>
          <c:tx>
            <c:v>Temp-Min</c:v>
          </c:tx>
          <c:spPr>
            <a:ln w="19050" cap="rnd">
              <a:solidFill>
                <a:srgbClr val="2C4D75">
                  <a:alpha val="65000"/>
                </a:srgbClr>
              </a:solidFill>
              <a:prstDash val="sysDot"/>
              <a:round/>
            </a:ln>
            <a:effectLst/>
          </c:spPr>
          <c:marker>
            <c:symbol val="circle"/>
            <c:size val="3"/>
            <c:spPr>
              <a:solidFill>
                <a:srgbClr val="2C4D75">
                  <a:alpha val="65000"/>
                </a:srgbClr>
              </a:solidFill>
              <a:ln w="9525">
                <a:solidFill>
                  <a:srgbClr val="2C4D75">
                    <a:alpha val="65000"/>
                  </a:srgbClr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581-484C-A4A4-C49D02B45E3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581-484C-A4A4-C49D02B45E3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581-484C-A4A4-C49D02B45E3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581-484C-A4A4-C49D02B45E3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581-484C-A4A4-C49D02B45E3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581-484C-A4A4-C49D02B45E3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581-484C-A4A4-C49D02B45E3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581-484C-A4A4-C49D02B45E3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81-484C-A4A4-C49D02B45E3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81-484C-A4A4-C49D02B45E3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81-484C-A4A4-C49D02B45E3E}"/>
                </c:ext>
              </c:extLst>
            </c:dLbl>
            <c:dLbl>
              <c:idx val="11"/>
              <c:layout>
                <c:manualLayout>
                  <c:x val="-6.6170380131900491E-2"/>
                  <c:y val="3.229527104959630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581-484C-A4A4-C49D02B45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6893C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Loads!$B$76:$M$76</c:f>
              <c:numCache>
                <c:formatCode>General</c:formatCode>
                <c:ptCount val="12"/>
                <c:pt idx="0">
                  <c:v>19</c:v>
                </c:pt>
                <c:pt idx="1">
                  <c:v>19.2</c:v>
                </c:pt>
                <c:pt idx="2">
                  <c:v>17.7</c:v>
                </c:pt>
                <c:pt idx="3">
                  <c:v>14.4</c:v>
                </c:pt>
                <c:pt idx="4">
                  <c:v>11.1</c:v>
                </c:pt>
                <c:pt idx="5">
                  <c:v>8.8000000000000007</c:v>
                </c:pt>
                <c:pt idx="6">
                  <c:v>7.4</c:v>
                </c:pt>
                <c:pt idx="7">
                  <c:v>8.3000000000000007</c:v>
                </c:pt>
                <c:pt idx="8">
                  <c:v>10.6</c:v>
                </c:pt>
                <c:pt idx="9">
                  <c:v>13.4</c:v>
                </c:pt>
                <c:pt idx="10">
                  <c:v>15.5</c:v>
                </c:pt>
                <c:pt idx="11">
                  <c:v>17.600000000000001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4-5622-42FB-9593-D32104670A73}"/>
            </c:ext>
          </c:extLst>
        </c:ser>
        <c:ser>
          <c:idx val="6"/>
          <c:order val="7"/>
          <c:tx>
            <c:v>Temp-Max</c:v>
          </c:tx>
          <c:spPr>
            <a:ln w="19050" cap="rnd">
              <a:solidFill>
                <a:srgbClr val="772C2A">
                  <a:alpha val="65000"/>
                </a:srgbClr>
              </a:solidFill>
              <a:prstDash val="sysDot"/>
              <a:round/>
            </a:ln>
            <a:effectLst/>
          </c:spPr>
          <c:marker>
            <c:symbol val="circle"/>
            <c:size val="3"/>
            <c:spPr>
              <a:solidFill>
                <a:srgbClr val="772C2A">
                  <a:alpha val="64706"/>
                </a:srgbClr>
              </a:solidFill>
              <a:ln w="9525"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81-484C-A4A4-C49D02B45E3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81-484C-A4A4-C49D02B45E3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81-484C-A4A4-C49D02B45E3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81-484C-A4A4-C49D02B45E3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81-484C-A4A4-C49D02B45E3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81-484C-A4A4-C49D02B45E3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81-484C-A4A4-C49D02B45E3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81-484C-A4A4-C49D02B45E3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81-484C-A4A4-C49D02B45E3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81-484C-A4A4-C49D02B45E3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81-484C-A4A4-C49D02B45E3E}"/>
                </c:ext>
              </c:extLst>
            </c:dLbl>
            <c:dLbl>
              <c:idx val="11"/>
              <c:layout>
                <c:manualLayout>
                  <c:x val="-8.1379455521364358E-2"/>
                  <c:y val="-5.0500106405618221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581-484C-A4A4-C49D02B45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C2595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Loads!$B$75:$M$75</c:f>
              <c:numCache>
                <c:formatCode>General</c:formatCode>
                <c:ptCount val="12"/>
                <c:pt idx="0">
                  <c:v>26.7</c:v>
                </c:pt>
                <c:pt idx="1">
                  <c:v>26.5</c:v>
                </c:pt>
                <c:pt idx="2">
                  <c:v>25.4</c:v>
                </c:pt>
                <c:pt idx="3">
                  <c:v>23</c:v>
                </c:pt>
                <c:pt idx="4">
                  <c:v>20.2</c:v>
                </c:pt>
                <c:pt idx="5">
                  <c:v>17.7</c:v>
                </c:pt>
                <c:pt idx="6">
                  <c:v>17.2</c:v>
                </c:pt>
                <c:pt idx="7">
                  <c:v>18.5</c:v>
                </c:pt>
                <c:pt idx="8">
                  <c:v>20.7</c:v>
                </c:pt>
                <c:pt idx="9">
                  <c:v>22.7</c:v>
                </c:pt>
                <c:pt idx="10">
                  <c:v>24.2</c:v>
                </c:pt>
                <c:pt idx="11">
                  <c:v>25.9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3-5622-42FB-9593-D32104670A73}"/>
            </c:ext>
          </c:extLst>
        </c:ser>
        <c:ser>
          <c:idx val="8"/>
          <c:order val="8"/>
          <c:tx>
            <c:v>Pwr-Use.KWh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dash"/>
            <c:size val="3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dLbl>
              <c:idx val="11"/>
              <c:layout>
                <c:manualLayout>
                  <c:x val="-3.6380172805820826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81-484C-A4A4-C49D02B45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'-calcs-'!$AB$18:$AB$29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 formatCode="0.0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81-484C-A4A4-C49D02B45E3E}"/>
            </c:ext>
          </c:extLst>
        </c:ser>
        <c:ser>
          <c:idx val="9"/>
          <c:order val="9"/>
          <c:tx>
            <c:v>Solar.KWh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dLbls>
            <c:dLbl>
              <c:idx val="11"/>
              <c:layout>
                <c:manualLayout>
                  <c:x val="-3.6380683407164975E-3"/>
                  <c:y val="-4.6136101499423508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81-484C-A4A4-C49D02B45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C092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'-calcs-'!$AC$15:$AC$26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 formatCode="0.00">
                  <c:v>34.207203993063921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81-484C-A4A4-C49D02B45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D6A300">
                  <a:alpha val="30000"/>
                </a:srgbClr>
              </a:solidFill>
              <a:round/>
            </a:ln>
            <a:effectLst/>
          </c:spPr>
        </c:hiLowLines>
        <c:marker val="1"/>
        <c:smooth val="0"/>
        <c:axId val="1415362448"/>
        <c:axId val="1687290720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v>Sola Pwr Array 1</c:v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Calculator!$N$16:$Y$16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34.368305424742402</c:v>
                      </c:pt>
                      <c:pt idx="1">
                        <c:v>31.575880608982075</c:v>
                      </c:pt>
                      <c:pt idx="2">
                        <c:v>29.12713884746918</c:v>
                      </c:pt>
                      <c:pt idx="3">
                        <c:v>25.303664868966585</c:v>
                      </c:pt>
                      <c:pt idx="4">
                        <c:v>21.33519960195337</c:v>
                      </c:pt>
                      <c:pt idx="5">
                        <c:v>18.301122638675327</c:v>
                      </c:pt>
                      <c:pt idx="6">
                        <c:v>20.443771679999113</c:v>
                      </c:pt>
                      <c:pt idx="7">
                        <c:v>25.131823341842882</c:v>
                      </c:pt>
                      <c:pt idx="8">
                        <c:v>29.529892426665384</c:v>
                      </c:pt>
                      <c:pt idx="9">
                        <c:v>32.177325953915073</c:v>
                      </c:pt>
                      <c:pt idx="10">
                        <c:v>32.542489199052959</c:v>
                      </c:pt>
                      <c:pt idx="11">
                        <c:v>34.207203993063921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622-42FB-9593-D32104670A73}"/>
                  </c:ext>
                </c:extLst>
              </c15:ser>
            </c15:filteredLineSeries>
          </c:ext>
        </c:extLst>
      </c:lineChart>
      <c:catAx>
        <c:axId val="1415362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i="1"/>
                  <a:t>Month</a:t>
                </a:r>
              </a:p>
            </c:rich>
          </c:tx>
          <c:layout>
            <c:manualLayout>
              <c:xMode val="edge"/>
              <c:yMode val="edge"/>
              <c:x val="0.5110997556254917"/>
              <c:y val="0.81335512991671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7290720"/>
        <c:crosses val="autoZero"/>
        <c:auto val="1"/>
        <c:lblAlgn val="ctr"/>
        <c:lblOffset val="100"/>
        <c:noMultiLvlLbl val="0"/>
      </c:catAx>
      <c:valAx>
        <c:axId val="168729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D6A3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400" b="1">
                    <a:solidFill>
                      <a:srgbClr val="D6A300"/>
                    </a:solidFill>
                  </a:rPr>
                  <a:t>KWh</a:t>
                </a:r>
              </a:p>
            </c:rich>
          </c:tx>
          <c:layout>
            <c:manualLayout>
              <c:xMode val="edge"/>
              <c:yMode val="edge"/>
              <c:x val="1.0174560376405883E-2"/>
              <c:y val="0.32335231452469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D6A3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536244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8567692624516578E-2"/>
          <c:y val="0.88811886403472917"/>
          <c:w val="0.89999988276901166"/>
          <c:h val="7.78552161948614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Day/Night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Loads!$M$15</c:f>
              <c:strCache>
                <c:ptCount val="1"/>
                <c:pt idx="0">
                  <c:v>KWh Daytime use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KWe</c:v>
              </c:pt>
            </c:strLit>
          </c:cat>
          <c:val>
            <c:numRef>
              <c:f>Loads!$M$16</c:f>
              <c:numCache>
                <c:formatCode>0.0</c:formatCode>
                <c:ptCount val="1"/>
                <c:pt idx="0">
                  <c:v>12.353542468389225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4-40D8-BD26-698944990F66}"/>
            </c:ext>
          </c:extLst>
        </c:ser>
        <c:ser>
          <c:idx val="1"/>
          <c:order val="1"/>
          <c:tx>
            <c:strRef>
              <c:f>Loads!$M$27</c:f>
              <c:strCache>
                <c:ptCount val="1"/>
                <c:pt idx="0">
                  <c:v>KWh Night use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KWe</c:v>
              </c:pt>
            </c:strLit>
          </c:cat>
          <c:val>
            <c:numRef>
              <c:f>Loads!$M$28</c:f>
              <c:numCache>
                <c:formatCode>0.0</c:formatCode>
                <c:ptCount val="1"/>
                <c:pt idx="0">
                  <c:v>3.114692138537658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4-40D8-BD26-698944990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8478440"/>
        <c:axId val="918476472"/>
      </c:barChart>
      <c:catAx>
        <c:axId val="918478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476472"/>
        <c:crosses val="autoZero"/>
        <c:auto val="1"/>
        <c:lblAlgn val="ctr"/>
        <c:lblOffset val="100"/>
        <c:noMultiLvlLbl val="0"/>
      </c:catAx>
      <c:valAx>
        <c:axId val="9184764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47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294687302018281E-2"/>
          <c:y val="0.82032049791244444"/>
          <c:w val="0.89167232144762387"/>
          <c:h val="0.145811936551409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/>
              <a:t>Load Limits &amp; Peaking</a:t>
            </a:r>
          </a:p>
        </c:rich>
      </c:tx>
      <c:layout>
        <c:manualLayout>
          <c:xMode val="edge"/>
          <c:yMode val="edge"/>
          <c:x val="0.10080352808563506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3"/>
          <c:order val="0"/>
          <c:tx>
            <c:v>"Peak.2"</c:v>
          </c:tx>
          <c:spPr>
            <a:solidFill>
              <a:srgbClr val="00B0F0">
                <a:alpha val="30000"/>
              </a:srgbClr>
            </a:solidFill>
            <a:ln>
              <a:noFill/>
            </a:ln>
            <a:effectLst/>
          </c:spPr>
          <c:cat>
            <c:strRef>
              <c:f>Loads!$V$10:$V$34</c:f>
              <c:strCache>
                <c:ptCount val="25"/>
                <c:pt idx="0">
                  <c:v>12am</c:v>
                </c:pt>
                <c:pt idx="1">
                  <c:v>1am</c:v>
                </c:pt>
                <c:pt idx="2">
                  <c:v>2am</c:v>
                </c:pt>
                <c:pt idx="3">
                  <c:v>3am</c:v>
                </c:pt>
                <c:pt idx="4">
                  <c:v>4am</c:v>
                </c:pt>
                <c:pt idx="5">
                  <c:v>5am </c:v>
                </c:pt>
                <c:pt idx="6">
                  <c:v>6am</c:v>
                </c:pt>
                <c:pt idx="7">
                  <c:v>7am</c:v>
                </c:pt>
                <c:pt idx="8">
                  <c:v>8am</c:v>
                </c:pt>
                <c:pt idx="9">
                  <c:v>9am</c:v>
                </c:pt>
                <c:pt idx="10">
                  <c:v>10am</c:v>
                </c:pt>
                <c:pt idx="11">
                  <c:v>11am</c:v>
                </c:pt>
                <c:pt idx="12">
                  <c:v>12pm</c:v>
                </c:pt>
                <c:pt idx="13">
                  <c:v>1pm</c:v>
                </c:pt>
                <c:pt idx="14">
                  <c:v>2pm</c:v>
                </c:pt>
                <c:pt idx="15">
                  <c:v>3pm</c:v>
                </c:pt>
                <c:pt idx="16">
                  <c:v>4pm</c:v>
                </c:pt>
                <c:pt idx="17">
                  <c:v>5pm</c:v>
                </c:pt>
                <c:pt idx="18">
                  <c:v>6pm</c:v>
                </c:pt>
                <c:pt idx="19">
                  <c:v>7pm</c:v>
                </c:pt>
                <c:pt idx="20">
                  <c:v>8pm</c:v>
                </c:pt>
                <c:pt idx="21">
                  <c:v>9pm</c:v>
                </c:pt>
                <c:pt idx="22">
                  <c:v>10pm</c:v>
                </c:pt>
                <c:pt idx="23">
                  <c:v>11pm</c:v>
                </c:pt>
                <c:pt idx="24">
                  <c:v>12pm</c:v>
                </c:pt>
              </c:strCache>
            </c:strRef>
          </c:cat>
          <c:val>
            <c:numRef>
              <c:f>Loads!$T$10:$T$34</c:f>
              <c:numCache>
                <c:formatCode>General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2-495C-8D45-E3FFAB0760A8}"/>
            </c:ext>
          </c:extLst>
        </c:ser>
        <c:ser>
          <c:idx val="2"/>
          <c:order val="1"/>
          <c:tx>
            <c:v/>
          </c:tx>
          <c:spPr>
            <a:solidFill>
              <a:schemeClr val="bg1">
                <a:lumMod val="65000"/>
                <a:alpha val="70000"/>
              </a:schemeClr>
            </a:solidFill>
            <a:ln>
              <a:noFill/>
            </a:ln>
            <a:effectLst/>
          </c:spPr>
          <c:cat>
            <c:strRef>
              <c:f>Loads!$V$10:$V$34</c:f>
              <c:strCache>
                <c:ptCount val="25"/>
                <c:pt idx="0">
                  <c:v>12am</c:v>
                </c:pt>
                <c:pt idx="1">
                  <c:v>1am</c:v>
                </c:pt>
                <c:pt idx="2">
                  <c:v>2am</c:v>
                </c:pt>
                <c:pt idx="3">
                  <c:v>3am</c:v>
                </c:pt>
                <c:pt idx="4">
                  <c:v>4am</c:v>
                </c:pt>
                <c:pt idx="5">
                  <c:v>5am </c:v>
                </c:pt>
                <c:pt idx="6">
                  <c:v>6am</c:v>
                </c:pt>
                <c:pt idx="7">
                  <c:v>7am</c:v>
                </c:pt>
                <c:pt idx="8">
                  <c:v>8am</c:v>
                </c:pt>
                <c:pt idx="9">
                  <c:v>9am</c:v>
                </c:pt>
                <c:pt idx="10">
                  <c:v>10am</c:v>
                </c:pt>
                <c:pt idx="11">
                  <c:v>11am</c:v>
                </c:pt>
                <c:pt idx="12">
                  <c:v>12pm</c:v>
                </c:pt>
                <c:pt idx="13">
                  <c:v>1pm</c:v>
                </c:pt>
                <c:pt idx="14">
                  <c:v>2pm</c:v>
                </c:pt>
                <c:pt idx="15">
                  <c:v>3pm</c:v>
                </c:pt>
                <c:pt idx="16">
                  <c:v>4pm</c:v>
                </c:pt>
                <c:pt idx="17">
                  <c:v>5pm</c:v>
                </c:pt>
                <c:pt idx="18">
                  <c:v>6pm</c:v>
                </c:pt>
                <c:pt idx="19">
                  <c:v>7pm</c:v>
                </c:pt>
                <c:pt idx="20">
                  <c:v>8pm</c:v>
                </c:pt>
                <c:pt idx="21">
                  <c:v>9pm</c:v>
                </c:pt>
                <c:pt idx="22">
                  <c:v>10pm</c:v>
                </c:pt>
                <c:pt idx="23">
                  <c:v>11pm</c:v>
                </c:pt>
                <c:pt idx="24">
                  <c:v>12pm</c:v>
                </c:pt>
              </c:strCache>
            </c:strRef>
          </c:cat>
          <c:val>
            <c:numRef>
              <c:f>Loads!$P$10:$P$34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12-495C-8D45-E3FFAB076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6961824"/>
        <c:axId val="486815760"/>
      </c:areaChart>
      <c:barChart>
        <c:barDir val="col"/>
        <c:grouping val="clustered"/>
        <c:varyColors val="0"/>
        <c:ser>
          <c:idx val="4"/>
          <c:order val="4"/>
          <c:tx>
            <c:strRef>
              <c:f>Loads!$U$7</c:f>
              <c:strCache>
                <c:ptCount val="1"/>
                <c:pt idx="0">
                  <c:v>Daytime Peak:</c:v>
                </c:pt>
              </c:strCache>
            </c:strRef>
          </c:tx>
          <c:spPr>
            <a:solidFill>
              <a:srgbClr val="C00000">
                <a:alpha val="50000"/>
              </a:srgbClr>
            </a:solidFill>
            <a:ln w="6350">
              <a:solidFill>
                <a:srgbClr val="FF0000"/>
              </a:solidFill>
            </a:ln>
            <a:effectLst/>
          </c:spPr>
          <c:invertIfNegative val="0"/>
          <c:dLbls>
            <c:dLbl>
              <c:idx val="9"/>
              <c:layout>
                <c:manualLayout>
                  <c:x val="1.474460242232754E-2"/>
                  <c:y val="6.93751822688829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F12-495C-8D45-E3FFAB076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Loads!$V$10:$V$34</c:f>
              <c:strCache>
                <c:ptCount val="25"/>
                <c:pt idx="0">
                  <c:v>12am</c:v>
                </c:pt>
                <c:pt idx="1">
                  <c:v>1am</c:v>
                </c:pt>
                <c:pt idx="2">
                  <c:v>2am</c:v>
                </c:pt>
                <c:pt idx="3">
                  <c:v>3am</c:v>
                </c:pt>
                <c:pt idx="4">
                  <c:v>4am</c:v>
                </c:pt>
                <c:pt idx="5">
                  <c:v>5am </c:v>
                </c:pt>
                <c:pt idx="6">
                  <c:v>6am</c:v>
                </c:pt>
                <c:pt idx="7">
                  <c:v>7am</c:v>
                </c:pt>
                <c:pt idx="8">
                  <c:v>8am</c:v>
                </c:pt>
                <c:pt idx="9">
                  <c:v>9am</c:v>
                </c:pt>
                <c:pt idx="10">
                  <c:v>10am</c:v>
                </c:pt>
                <c:pt idx="11">
                  <c:v>11am</c:v>
                </c:pt>
                <c:pt idx="12">
                  <c:v>12pm</c:v>
                </c:pt>
                <c:pt idx="13">
                  <c:v>1pm</c:v>
                </c:pt>
                <c:pt idx="14">
                  <c:v>2pm</c:v>
                </c:pt>
                <c:pt idx="15">
                  <c:v>3pm</c:v>
                </c:pt>
                <c:pt idx="16">
                  <c:v>4pm</c:v>
                </c:pt>
                <c:pt idx="17">
                  <c:v>5pm</c:v>
                </c:pt>
                <c:pt idx="18">
                  <c:v>6pm</c:v>
                </c:pt>
                <c:pt idx="19">
                  <c:v>7pm</c:v>
                </c:pt>
                <c:pt idx="20">
                  <c:v>8pm</c:v>
                </c:pt>
                <c:pt idx="21">
                  <c:v>9pm</c:v>
                </c:pt>
                <c:pt idx="22">
                  <c:v>10pm</c:v>
                </c:pt>
                <c:pt idx="23">
                  <c:v>11pm</c:v>
                </c:pt>
                <c:pt idx="24">
                  <c:v>12pm</c:v>
                </c:pt>
              </c:strCache>
            </c:strRef>
          </c:cat>
          <c:val>
            <c:numRef>
              <c:f>Loads!$U$10:$U$34</c:f>
              <c:numCache>
                <c:formatCode>General</c:formatCode>
                <c:ptCount val="25"/>
                <c:pt idx="0">
                  <c:v>0.17600000000000005</c:v>
                </c:pt>
                <c:pt idx="1">
                  <c:v>0.17600000000000005</c:v>
                </c:pt>
                <c:pt idx="2">
                  <c:v>0.17600000000000005</c:v>
                </c:pt>
                <c:pt idx="3">
                  <c:v>0.17600000000000005</c:v>
                </c:pt>
                <c:pt idx="4">
                  <c:v>0.17600000000000005</c:v>
                </c:pt>
                <c:pt idx="5">
                  <c:v>0.17600000000000005</c:v>
                </c:pt>
                <c:pt idx="6">
                  <c:v>0.17600000000000005</c:v>
                </c:pt>
                <c:pt idx="7">
                  <c:v>0.33600000000000008</c:v>
                </c:pt>
                <c:pt idx="8">
                  <c:v>2.0960000000000005</c:v>
                </c:pt>
                <c:pt idx="9">
                  <c:v>2.7360000000000007</c:v>
                </c:pt>
                <c:pt idx="10">
                  <c:v>2.8960000000000004</c:v>
                </c:pt>
                <c:pt idx="11">
                  <c:v>2.5760000000000005</c:v>
                </c:pt>
                <c:pt idx="12">
                  <c:v>2.8160000000000003</c:v>
                </c:pt>
                <c:pt idx="13">
                  <c:v>1.0560000000000003</c:v>
                </c:pt>
                <c:pt idx="14">
                  <c:v>1.3760000000000003</c:v>
                </c:pt>
                <c:pt idx="15">
                  <c:v>1.3760000000000003</c:v>
                </c:pt>
                <c:pt idx="16">
                  <c:v>1.0560000000000003</c:v>
                </c:pt>
                <c:pt idx="17">
                  <c:v>0.28800000000000003</c:v>
                </c:pt>
                <c:pt idx="18">
                  <c:v>0.65600000000000003</c:v>
                </c:pt>
                <c:pt idx="19">
                  <c:v>1.1040000000000001</c:v>
                </c:pt>
                <c:pt idx="20">
                  <c:v>1.024</c:v>
                </c:pt>
                <c:pt idx="21">
                  <c:v>0.54400000000000004</c:v>
                </c:pt>
                <c:pt idx="22">
                  <c:v>0.17600000000000005</c:v>
                </c:pt>
                <c:pt idx="23">
                  <c:v>0.17600000000000005</c:v>
                </c:pt>
                <c:pt idx="24">
                  <c:v>0.17600000000000005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12-495C-8D45-E3FFAB076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0"/>
        <c:axId val="856961824"/>
        <c:axId val="486815760"/>
      </c:barChart>
      <c:lineChart>
        <c:grouping val="standard"/>
        <c:varyColors val="0"/>
        <c:ser>
          <c:idx val="0"/>
          <c:order val="2"/>
          <c:tx>
            <c:strRef>
              <c:f>Loads!$P$8</c:f>
              <c:strCache>
                <c:ptCount val="1"/>
                <c:pt idx="0">
                  <c:v>Nom.Load</c:v>
                </c:pt>
              </c:strCache>
            </c:strRef>
          </c:tx>
          <c:spPr>
            <a:ln w="25400" cap="rnd">
              <a:solidFill>
                <a:schemeClr val="accent2">
                  <a:lumMod val="75000"/>
                  <a:alpha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8454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Loads!$V$10:$V$34</c:f>
              <c:strCache>
                <c:ptCount val="25"/>
                <c:pt idx="0">
                  <c:v>12am</c:v>
                </c:pt>
                <c:pt idx="1">
                  <c:v>1am</c:v>
                </c:pt>
                <c:pt idx="2">
                  <c:v>2am</c:v>
                </c:pt>
                <c:pt idx="3">
                  <c:v>3am</c:v>
                </c:pt>
                <c:pt idx="4">
                  <c:v>4am</c:v>
                </c:pt>
                <c:pt idx="5">
                  <c:v>5am </c:v>
                </c:pt>
                <c:pt idx="6">
                  <c:v>6am</c:v>
                </c:pt>
                <c:pt idx="7">
                  <c:v>7am</c:v>
                </c:pt>
                <c:pt idx="8">
                  <c:v>8am</c:v>
                </c:pt>
                <c:pt idx="9">
                  <c:v>9am</c:v>
                </c:pt>
                <c:pt idx="10">
                  <c:v>10am</c:v>
                </c:pt>
                <c:pt idx="11">
                  <c:v>11am</c:v>
                </c:pt>
                <c:pt idx="12">
                  <c:v>12pm</c:v>
                </c:pt>
                <c:pt idx="13">
                  <c:v>1pm</c:v>
                </c:pt>
                <c:pt idx="14">
                  <c:v>2pm</c:v>
                </c:pt>
                <c:pt idx="15">
                  <c:v>3pm</c:v>
                </c:pt>
                <c:pt idx="16">
                  <c:v>4pm</c:v>
                </c:pt>
                <c:pt idx="17">
                  <c:v>5pm</c:v>
                </c:pt>
                <c:pt idx="18">
                  <c:v>6pm</c:v>
                </c:pt>
                <c:pt idx="19">
                  <c:v>7pm</c:v>
                </c:pt>
                <c:pt idx="20">
                  <c:v>8pm</c:v>
                </c:pt>
                <c:pt idx="21">
                  <c:v>9pm</c:v>
                </c:pt>
                <c:pt idx="22">
                  <c:v>10pm</c:v>
                </c:pt>
                <c:pt idx="23">
                  <c:v>11pm</c:v>
                </c:pt>
                <c:pt idx="24">
                  <c:v>12pm</c:v>
                </c:pt>
              </c:strCache>
            </c:strRef>
          </c:cat>
          <c:val>
            <c:numRef>
              <c:f>Loads!$P$10:$P$34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12-495C-8D45-E3FFAB0760A8}"/>
            </c:ext>
          </c:extLst>
        </c:ser>
        <c:ser>
          <c:idx val="1"/>
          <c:order val="3"/>
          <c:tx>
            <c:strRef>
              <c:f>Loads!$S$8</c:f>
              <c:strCache>
                <c:ptCount val="1"/>
                <c:pt idx="0">
                  <c:v>Load.Peak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Loads!$V$10:$V$34</c:f>
              <c:strCache>
                <c:ptCount val="25"/>
                <c:pt idx="0">
                  <c:v>12am</c:v>
                </c:pt>
                <c:pt idx="1">
                  <c:v>1am</c:v>
                </c:pt>
                <c:pt idx="2">
                  <c:v>2am</c:v>
                </c:pt>
                <c:pt idx="3">
                  <c:v>3am</c:v>
                </c:pt>
                <c:pt idx="4">
                  <c:v>4am</c:v>
                </c:pt>
                <c:pt idx="5">
                  <c:v>5am </c:v>
                </c:pt>
                <c:pt idx="6">
                  <c:v>6am</c:v>
                </c:pt>
                <c:pt idx="7">
                  <c:v>7am</c:v>
                </c:pt>
                <c:pt idx="8">
                  <c:v>8am</c:v>
                </c:pt>
                <c:pt idx="9">
                  <c:v>9am</c:v>
                </c:pt>
                <c:pt idx="10">
                  <c:v>10am</c:v>
                </c:pt>
                <c:pt idx="11">
                  <c:v>11am</c:v>
                </c:pt>
                <c:pt idx="12">
                  <c:v>12pm</c:v>
                </c:pt>
                <c:pt idx="13">
                  <c:v>1pm</c:v>
                </c:pt>
                <c:pt idx="14">
                  <c:v>2pm</c:v>
                </c:pt>
                <c:pt idx="15">
                  <c:v>3pm</c:v>
                </c:pt>
                <c:pt idx="16">
                  <c:v>4pm</c:v>
                </c:pt>
                <c:pt idx="17">
                  <c:v>5pm</c:v>
                </c:pt>
                <c:pt idx="18">
                  <c:v>6pm</c:v>
                </c:pt>
                <c:pt idx="19">
                  <c:v>7pm</c:v>
                </c:pt>
                <c:pt idx="20">
                  <c:v>8pm</c:v>
                </c:pt>
                <c:pt idx="21">
                  <c:v>9pm</c:v>
                </c:pt>
                <c:pt idx="22">
                  <c:v>10pm</c:v>
                </c:pt>
                <c:pt idx="23">
                  <c:v>11pm</c:v>
                </c:pt>
                <c:pt idx="24">
                  <c:v>12pm</c:v>
                </c:pt>
              </c:strCache>
            </c:strRef>
          </c:cat>
          <c:val>
            <c:numRef>
              <c:f>Loads!$S$10:$S$34</c:f>
              <c:numCache>
                <c:formatCode>General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12-495C-8D45-E3FFAB0760A8}"/>
            </c:ext>
          </c:extLst>
        </c:ser>
        <c:ser>
          <c:idx val="5"/>
          <c:order val="5"/>
          <c:tx>
            <c:v>Ave Pwr Use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Loads!$O$10:$O$34</c:f>
              <c:numCache>
                <c:formatCode>0.00</c:formatCode>
                <c:ptCount val="25"/>
                <c:pt idx="0">
                  <c:v>0.11000000000000001</c:v>
                </c:pt>
                <c:pt idx="1">
                  <c:v>0.11000000000000001</c:v>
                </c:pt>
                <c:pt idx="2">
                  <c:v>0.11000000000000001</c:v>
                </c:pt>
                <c:pt idx="3">
                  <c:v>0.11000000000000001</c:v>
                </c:pt>
                <c:pt idx="4">
                  <c:v>0.11000000000000001</c:v>
                </c:pt>
                <c:pt idx="5">
                  <c:v>0.11000000000000001</c:v>
                </c:pt>
                <c:pt idx="6">
                  <c:v>0.11000000000000001</c:v>
                </c:pt>
                <c:pt idx="7">
                  <c:v>0.21000000000000002</c:v>
                </c:pt>
                <c:pt idx="8">
                  <c:v>1.3100000000000003</c:v>
                </c:pt>
                <c:pt idx="9">
                  <c:v>1.7100000000000002</c:v>
                </c:pt>
                <c:pt idx="10">
                  <c:v>1.81</c:v>
                </c:pt>
                <c:pt idx="11">
                  <c:v>1.61</c:v>
                </c:pt>
                <c:pt idx="12">
                  <c:v>1.76</c:v>
                </c:pt>
                <c:pt idx="13">
                  <c:v>0.66000000000000014</c:v>
                </c:pt>
                <c:pt idx="14">
                  <c:v>0.8600000000000001</c:v>
                </c:pt>
                <c:pt idx="15">
                  <c:v>0.8600000000000001</c:v>
                </c:pt>
                <c:pt idx="16">
                  <c:v>0.66000000000000014</c:v>
                </c:pt>
                <c:pt idx="17">
                  <c:v>0.18000000000000002</c:v>
                </c:pt>
                <c:pt idx="18">
                  <c:v>0.41</c:v>
                </c:pt>
                <c:pt idx="19">
                  <c:v>0.69000000000000006</c:v>
                </c:pt>
                <c:pt idx="20">
                  <c:v>0.64</c:v>
                </c:pt>
                <c:pt idx="21">
                  <c:v>0.34</c:v>
                </c:pt>
                <c:pt idx="22">
                  <c:v>0.11000000000000001</c:v>
                </c:pt>
                <c:pt idx="23">
                  <c:v>0.11000000000000001</c:v>
                </c:pt>
                <c:pt idx="24">
                  <c:v>0.11000000000000001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14-4C89-A9E4-A7D192248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961824"/>
        <c:axId val="486815760"/>
      </c:lineChart>
      <c:catAx>
        <c:axId val="856961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Time Night-Day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815760"/>
        <c:crosses val="autoZero"/>
        <c:auto val="1"/>
        <c:lblAlgn val="ctr"/>
        <c:lblOffset val="100"/>
        <c:noMultiLvlLbl val="0"/>
      </c:catAx>
      <c:valAx>
        <c:axId val="48681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Power KW</a:t>
                </a:r>
              </a:p>
            </c:rich>
          </c:tx>
          <c:layout>
            <c:manualLayout>
              <c:xMode val="edge"/>
              <c:yMode val="edge"/>
              <c:x val="1.2638230647709321E-2"/>
              <c:y val="0.4026428988043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96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18266688227952549"/>
          <c:y val="0.16245370370370371"/>
          <c:w val="0.81733311772047457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6" dropStyle="combo" dx="22" fmlaLink="E10" fmlaRange="UserProfiles" sel="2" val="0"/>
</file>

<file path=xl/ctrlProps/ctrlProp2.xml><?xml version="1.0" encoding="utf-8"?>
<formControlPr xmlns="http://schemas.microsoft.com/office/spreadsheetml/2009/9/main" objectType="Drop" dropStyle="combo" dx="22" fmlaLink="AA20" fmlaRange="Solar_Arrays" sel="8" val="5"/>
</file>

<file path=xl/ctrlProps/ctrlProp3.xml><?xml version="1.0" encoding="utf-8"?>
<formControlPr xmlns="http://schemas.microsoft.com/office/spreadsheetml/2009/9/main" objectType="Drop" dropStyle="combo" dx="22" fmlaLink="AA21" fmlaRange="Solar_Arrays" sel="1" val="0"/>
</file>

<file path=xl/ctrlProps/ctrlProp4.xml><?xml version="1.0" encoding="utf-8"?>
<formControlPr xmlns="http://schemas.microsoft.com/office/spreadsheetml/2009/9/main" objectType="Drop" dropLines="10" dropStyle="combo" dx="22" fmlaLink="AA23" fmlaRange="Locations" sel="5" val="0"/>
</file>

<file path=xl/ctrlProps/ctrlProp5.xml><?xml version="1.0" encoding="utf-8"?>
<formControlPr xmlns="http://schemas.microsoft.com/office/spreadsheetml/2009/9/main" objectType="Spin" dx="22" fmlaLink="E12" inc="5" max="50" page="10" val="15"/>
</file>

<file path=xl/ctrlProps/ctrlProp6.xml><?xml version="1.0" encoding="utf-8"?>
<formControlPr xmlns="http://schemas.microsoft.com/office/spreadsheetml/2009/9/main" objectType="Drop" dropStyle="combo" dx="22" fmlaLink="AA24" fmlaRange="Inverter_Chargers" sel="2" val="0"/>
</file>

<file path=xl/ctrlProps/ctrlProp7.xml><?xml version="1.0" encoding="utf-8"?>
<formControlPr xmlns="http://schemas.microsoft.com/office/spreadsheetml/2009/9/main" objectType="Spin" dx="22" fmlaLink="E15" max="50" min="2" page="10" val="8"/>
</file>

<file path=xl/ctrlProps/ctrlProp8.xml><?xml version="1.0" encoding="utf-8"?>
<formControlPr xmlns="http://schemas.microsoft.com/office/spreadsheetml/2009/9/main" objectType="Drop" dropStyle="combo" dx="22" fmlaLink="AA25" fmlaRange="Battery_Banks" sel="15" val="9"/>
</file>

<file path=xl/ctrlProps/ctrlProp9.xml><?xml version="1.0" encoding="utf-8"?>
<formControlPr xmlns="http://schemas.microsoft.com/office/spreadsheetml/2009/9/main" objectType="Spin" dx="22" fmlaLink="AA22" inc="10" max="90" page="10" val="20"/>
</file>

<file path=xl/ctrlProps/ctrlProp10.xml><?xml version="1.0" encoding="utf-8"?>
<formControlPr xmlns="http://schemas.microsoft.com/office/spreadsheetml/2009/9/main" objectType="Spin" dx="22" fmlaLink="AB22" inc="10" max="40" page="10" val="20"/>
</file>

<file path=xl/ctrlProps/ctrlProp11.xml><?xml version="1.0" encoding="utf-8"?>
<formControlPr xmlns="http://schemas.microsoft.com/office/spreadsheetml/2009/9/main" objectType="CheckBox" fmlaLink="AA26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gi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221720</xdr:colOff>
      <xdr:row>0</xdr:row>
      <xdr:rowOff>95249</xdr:rowOff>
    </xdr:from>
    <xdr:to>
      <xdr:col>1</xdr:col>
      <xdr:colOff>343546</xdr:colOff>
      <xdr:row>2</xdr:row>
      <xdr:rowOff>104274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191"/>
        <a:stretch/>
      </xdr:blipFill>
      <xdr:spPr>
        <a:xfrm>
          <a:off x="221720" y="95249"/>
          <a:ext cx="674276" cy="390025"/>
        </a:xfrm>
        <a:prstGeom prst="rect">
          <a:avLst/>
        </a:prstGeom>
      </xdr:spPr>
    </xdr:pic>
    <xdr:clientData/>
  </xdr:twoCellAnchor>
  <xdr:twoCellAnchor>
    <xdr:from>
      <xdr:col>11</xdr:col>
      <xdr:colOff>200024</xdr:colOff>
      <xdr:row>0</xdr:row>
      <xdr:rowOff>66674</xdr:rowOff>
    </xdr:from>
    <xdr:to>
      <xdr:col>26</xdr:col>
      <xdr:colOff>161925</xdr:colOff>
      <xdr:row>14</xdr:row>
      <xdr:rowOff>152399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361950</xdr:colOff>
      <xdr:row>20</xdr:row>
      <xdr:rowOff>180975</xdr:rowOff>
    </xdr:from>
    <xdr:to>
      <xdr:col>25</xdr:col>
      <xdr:colOff>200025</xdr:colOff>
      <xdr:row>32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114300</xdr:colOff>
      <xdr:row>20</xdr:row>
      <xdr:rowOff>180975</xdr:rowOff>
    </xdr:from>
    <xdr:to>
      <xdr:col>22</xdr:col>
      <xdr:colOff>276226</xdr:colOff>
      <xdr:row>35</xdr:row>
      <xdr:rowOff>66675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333376</xdr:colOff>
      <xdr:row>28</xdr:row>
      <xdr:rowOff>114300</xdr:rowOff>
    </xdr:from>
    <xdr:to>
      <xdr:col>21</xdr:col>
      <xdr:colOff>438150</xdr:colOff>
      <xdr:row>29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6176" y="5276850"/>
          <a:ext cx="113347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>
              <a:solidFill>
                <a:schemeClr val="accent2">
                  <a:lumMod val="75000"/>
                </a:schemeClr>
              </a:solidFill>
            </a:rPr>
            <a:t>Nom.Power Limit</a:t>
          </a:r>
        </a:p>
      </xdr:txBody>
    </xdr:sp>
    <xdr:clientData/>
  </xdr:twoCellAnchor>
  <xdr:twoCellAnchor>
    <xdr:from>
      <xdr:col>12</xdr:col>
      <xdr:colOff>419100</xdr:colOff>
      <xdr:row>26</xdr:row>
      <xdr:rowOff>19050</xdr:rowOff>
    </xdr:from>
    <xdr:to>
      <xdr:col>14</xdr:col>
      <xdr:colOff>381000</xdr:colOff>
      <xdr:row>27</xdr:row>
      <xdr:rowOff>38100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91450" y="4800600"/>
          <a:ext cx="9906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 b="1">
              <a:solidFill>
                <a:srgbClr val="00B0F0"/>
              </a:solidFill>
            </a:rPr>
            <a:t>Peak Power Limt</a:t>
          </a:r>
        </a:p>
      </xdr:txBody>
    </xdr:sp>
    <xdr:clientData/>
  </xdr:twoCellAnchor>
  <xdr:twoCellAnchor>
    <xdr:from>
      <xdr:col>15</xdr:col>
      <xdr:colOff>442912</xdr:colOff>
      <xdr:row>26</xdr:row>
      <xdr:rowOff>23813</xdr:rowOff>
    </xdr:from>
    <xdr:to>
      <xdr:col>16</xdr:col>
      <xdr:colOff>138112</xdr:colOff>
      <xdr:row>32</xdr:row>
      <xdr:rowOff>14287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 rot="16200000">
          <a:off x="8896350" y="5267325"/>
          <a:ext cx="113347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>
              <a:solidFill>
                <a:srgbClr val="C00000"/>
              </a:solidFill>
            </a:rPr>
            <a:t>Max.Daily Peak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171450</xdr:rowOff>
        </xdr:from>
        <xdr:to>
          <xdr:col>5</xdr:col>
          <xdr:colOff>9525</xdr:colOff>
          <xdr:row>9</xdr:row>
          <xdr:rowOff>190500</xdr:rowOff>
        </xdr:to>
        <xdr:sp macro="" textlink="">
          <xdr:nvSpPr>
            <xdr:cNvPr id="2052" name="Drop Down 4" descr="People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5</xdr:row>
          <xdr:rowOff>161925</xdr:rowOff>
        </xdr:from>
        <xdr:to>
          <xdr:col>5</xdr:col>
          <xdr:colOff>9525</xdr:colOff>
          <xdr:row>6</xdr:row>
          <xdr:rowOff>190500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5</xdr:row>
          <xdr:rowOff>171450</xdr:rowOff>
        </xdr:from>
        <xdr:to>
          <xdr:col>6</xdr:col>
          <xdr:colOff>9525</xdr:colOff>
          <xdr:row>6</xdr:row>
          <xdr:rowOff>200025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9525</xdr:colOff>
          <xdr:row>5</xdr:row>
          <xdr:rowOff>9525</xdr:rowOff>
        </xdr:to>
        <xdr:sp macro="" textlink="">
          <xdr:nvSpPr>
            <xdr:cNvPr id="2063" name="Drop Dow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11</xdr:row>
          <xdr:rowOff>0</xdr:rowOff>
        </xdr:from>
        <xdr:to>
          <xdr:col>5</xdr:col>
          <xdr:colOff>276225</xdr:colOff>
          <xdr:row>12</xdr:row>
          <xdr:rowOff>28575</xdr:rowOff>
        </xdr:to>
        <xdr:sp macro="" textlink="">
          <xdr:nvSpPr>
            <xdr:cNvPr id="2064" name="Spinner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171450</xdr:rowOff>
        </xdr:from>
        <xdr:to>
          <xdr:col>5</xdr:col>
          <xdr:colOff>9525</xdr:colOff>
          <xdr:row>13</xdr:row>
          <xdr:rowOff>190500</xdr:rowOff>
        </xdr:to>
        <xdr:sp macro="" textlink="">
          <xdr:nvSpPr>
            <xdr:cNvPr id="2066" name="Drop Dow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14</xdr:row>
          <xdr:rowOff>0</xdr:rowOff>
        </xdr:from>
        <xdr:to>
          <xdr:col>5</xdr:col>
          <xdr:colOff>276225</xdr:colOff>
          <xdr:row>15</xdr:row>
          <xdr:rowOff>0</xdr:rowOff>
        </xdr:to>
        <xdr:sp macro="" textlink="">
          <xdr:nvSpPr>
            <xdr:cNvPr id="2068" name="Spinner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5</xdr:col>
          <xdr:colOff>9525</xdr:colOff>
          <xdr:row>16</xdr:row>
          <xdr:rowOff>28575</xdr:rowOff>
        </xdr:to>
        <xdr:sp macro="" textlink="">
          <xdr:nvSpPr>
            <xdr:cNvPr id="2074" name="Drop Dow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809625</xdr:colOff>
          <xdr:row>6</xdr:row>
          <xdr:rowOff>200025</xdr:rowOff>
        </xdr:from>
        <xdr:to>
          <xdr:col>3</xdr:col>
          <xdr:colOff>1057275</xdr:colOff>
          <xdr:row>8</xdr:row>
          <xdr:rowOff>28575</xdr:rowOff>
        </xdr:to>
        <xdr:sp macro="" textlink="">
          <xdr:nvSpPr>
            <xdr:cNvPr id="2076" name="Spinner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7</xdr:row>
          <xdr:rowOff>0</xdr:rowOff>
        </xdr:from>
        <xdr:to>
          <xdr:col>6</xdr:col>
          <xdr:colOff>266700</xdr:colOff>
          <xdr:row>8</xdr:row>
          <xdr:rowOff>38100</xdr:rowOff>
        </xdr:to>
        <xdr:sp macro="" textlink="">
          <xdr:nvSpPr>
            <xdr:cNvPr id="2083" name="Spinner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</xdr:row>
          <xdr:rowOff>180975</xdr:rowOff>
        </xdr:from>
        <xdr:to>
          <xdr:col>6</xdr:col>
          <xdr:colOff>247650</xdr:colOff>
          <xdr:row>10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61</xdr:row>
      <xdr:rowOff>111013</xdr:rowOff>
    </xdr:from>
    <xdr:to>
      <xdr:col>12</xdr:col>
      <xdr:colOff>647700</xdr:colOff>
      <xdr:row>67</xdr:row>
      <xdr:rowOff>9946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2045838"/>
          <a:ext cx="4029075" cy="1041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</xdr:colOff>
      <xdr:row>1</xdr:row>
      <xdr:rowOff>19051</xdr:rowOff>
    </xdr:from>
    <xdr:ext cx="709966" cy="43815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6" y="209551"/>
          <a:ext cx="709966" cy="438150"/>
        </a:xfrm>
        <a:prstGeom prst="rect">
          <a:avLst/>
        </a:prstGeom>
      </xdr:spPr>
    </xdr:pic>
    <xdr:clientData/>
  </xdr:oneCellAnchor>
  <xdr:twoCellAnchor>
    <xdr:from>
      <xdr:col>14</xdr:col>
      <xdr:colOff>2239</xdr:colOff>
      <xdr:row>3</xdr:row>
      <xdr:rowOff>166968</xdr:rowOff>
    </xdr:from>
    <xdr:to>
      <xdr:col>24</xdr:col>
      <xdr:colOff>107014</xdr:colOff>
      <xdr:row>36</xdr:row>
      <xdr:rowOff>109818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810063" y="805703"/>
          <a:ext cx="6010275" cy="6431056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19050</xdr:rowOff>
    </xdr:from>
    <xdr:to>
      <xdr:col>7</xdr:col>
      <xdr:colOff>9525</xdr:colOff>
      <xdr:row>12</xdr:row>
      <xdr:rowOff>7144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038225"/>
          <a:ext cx="876300" cy="1378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375388</xdr:colOff>
      <xdr:row>16</xdr:row>
      <xdr:rowOff>33695</xdr:rowOff>
    </xdr:from>
    <xdr:to>
      <xdr:col>5</xdr:col>
      <xdr:colOff>1905000</xdr:colOff>
      <xdr:row>23</xdr:row>
      <xdr:rowOff>175730</xdr:rowOff>
    </xdr:to>
    <xdr:pic>
      <xdr:nvPicPr>
        <xdr:cNvPr id="4" name="Picture 3" descr="Azimuth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8813" y="3205520"/>
          <a:ext cx="1529612" cy="1475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107</xdr:row>
      <xdr:rowOff>19050</xdr:rowOff>
    </xdr:from>
    <xdr:to>
      <xdr:col>7</xdr:col>
      <xdr:colOff>5873</xdr:colOff>
      <xdr:row>113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20707350"/>
          <a:ext cx="853598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169333</xdr:colOff>
      <xdr:row>118</xdr:row>
      <xdr:rowOff>33696</xdr:rowOff>
    </xdr:from>
    <xdr:to>
      <xdr:col>5</xdr:col>
      <xdr:colOff>2095500</xdr:colOff>
      <xdr:row>127</xdr:row>
      <xdr:rowOff>177266</xdr:rowOff>
    </xdr:to>
    <xdr:pic>
      <xdr:nvPicPr>
        <xdr:cNvPr id="8" name="Picture 7" descr="Azimuth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758" y="22874646"/>
          <a:ext cx="1926167" cy="1858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irewizard.bambachcables.com.au/" TargetMode="External"/><Relationship Id="rId1" Type="http://schemas.openxmlformats.org/officeDocument/2006/relationships/hyperlink" Target="http://wirewizard.bambachcables.com.au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5806E-2741-4CBB-8D27-51FEEDC3BD62}">
  <sheetPr codeName="Sheet1">
    <tabColor rgb="FFFFC000"/>
    <pageSetUpPr fitToPage="1"/>
  </sheetPr>
  <dimension ref="A1:AE54"/>
  <sheetViews>
    <sheetView tabSelected="1" zoomScaleNormal="100" workbookViewId="0">
      <selection activeCell="D3" sqref="D3"/>
    </sheetView>
  </sheetViews>
  <sheetFormatPr defaultRowHeight="15" x14ac:dyDescent="0.25"/>
  <cols>
    <col min="1" max="1" width="8.28515625" style="1" customWidth="1"/>
    <col min="2" max="3" width="9.140625" style="1"/>
    <col min="4" max="4" width="16" style="1" customWidth="1"/>
    <col min="5" max="5" width="12" style="1" customWidth="1"/>
    <col min="6" max="10" width="9.140625" style="1"/>
    <col min="11" max="11" width="4.5703125" style="1" customWidth="1"/>
    <col min="12" max="26" width="7.7109375" style="1" customWidth="1"/>
    <col min="27" max="27" width="9.140625" style="1" hidden="1" customWidth="1"/>
    <col min="28" max="28" width="9.5703125" style="1" hidden="1" customWidth="1"/>
    <col min="29" max="29" width="9.140625" style="1" hidden="1" customWidth="1"/>
    <col min="30" max="16384" width="9.140625" style="1"/>
  </cols>
  <sheetData>
    <row r="1" spans="1:31" ht="15" customHeight="1" x14ac:dyDescent="0.25">
      <c r="A1" s="5"/>
      <c r="B1" s="6"/>
      <c r="C1" s="6"/>
      <c r="D1" s="392" t="s">
        <v>682</v>
      </c>
      <c r="E1" s="392"/>
      <c r="F1" s="392"/>
      <c r="G1" s="6"/>
      <c r="H1" s="138" t="str">
        <f>D3&amp; " C01-01"</f>
        <v>Name C01-01</v>
      </c>
      <c r="I1" s="138"/>
      <c r="J1" s="139" t="s">
        <v>689</v>
      </c>
      <c r="L1" s="148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49"/>
      <c r="AB1" s="72"/>
      <c r="AC1" s="70"/>
    </row>
    <row r="2" spans="1:31" ht="15" customHeight="1" x14ac:dyDescent="0.25">
      <c r="A2" s="8"/>
      <c r="D2" s="393"/>
      <c r="E2" s="393"/>
      <c r="F2" s="393"/>
      <c r="I2" s="107">
        <f ca="1">TODAY()</f>
        <v>45109</v>
      </c>
      <c r="J2" s="9"/>
      <c r="L2" s="150"/>
      <c r="Z2" s="151"/>
      <c r="AB2" s="72"/>
      <c r="AC2" s="70"/>
    </row>
    <row r="3" spans="1:31" ht="15" customHeight="1" x14ac:dyDescent="0.25">
      <c r="A3" s="8"/>
      <c r="D3" s="270" t="s">
        <v>910</v>
      </c>
      <c r="E3" s="397" t="s">
        <v>925</v>
      </c>
      <c r="F3" s="398"/>
      <c r="G3" s="398"/>
      <c r="H3" s="399"/>
      <c r="J3" s="9"/>
      <c r="L3" s="150"/>
      <c r="Z3" s="151"/>
      <c r="AB3" s="72"/>
      <c r="AC3" s="70"/>
    </row>
    <row r="4" spans="1:31" x14ac:dyDescent="0.25">
      <c r="A4" s="126"/>
      <c r="B4" s="125"/>
      <c r="C4" s="125"/>
      <c r="D4" s="128"/>
      <c r="E4" s="129" t="str">
        <f>IF('-calcs-'!E38="","", '-calcs-'!E38)</f>
        <v/>
      </c>
      <c r="F4" s="125"/>
      <c r="G4" s="125"/>
      <c r="H4" s="125"/>
      <c r="I4" s="125"/>
      <c r="J4" s="127"/>
      <c r="L4" s="150"/>
      <c r="Z4" s="152"/>
      <c r="AB4" s="72"/>
      <c r="AC4" s="70"/>
    </row>
    <row r="5" spans="1:31" ht="15.95" customHeight="1" x14ac:dyDescent="0.25">
      <c r="A5" s="183" t="s">
        <v>6</v>
      </c>
      <c r="B5" s="125"/>
      <c r="C5" s="125"/>
      <c r="D5" s="128" t="s">
        <v>919</v>
      </c>
      <c r="E5" s="184" t="str">
        <f>AB23</f>
        <v>Sydney</v>
      </c>
      <c r="F5" s="185" t="s">
        <v>895</v>
      </c>
      <c r="G5" s="185"/>
      <c r="H5" s="125"/>
      <c r="I5" s="125"/>
      <c r="J5" s="186" t="s">
        <v>896</v>
      </c>
      <c r="L5" s="150"/>
      <c r="Z5" s="152"/>
      <c r="AB5" s="72"/>
      <c r="AC5" s="70"/>
    </row>
    <row r="6" spans="1:31" x14ac:dyDescent="0.25">
      <c r="A6" s="126"/>
      <c r="B6" s="125"/>
      <c r="C6" s="125"/>
      <c r="D6" s="187"/>
      <c r="E6" s="125"/>
      <c r="F6" s="125"/>
      <c r="G6" s="125"/>
      <c r="H6" s="125"/>
      <c r="I6" s="125"/>
      <c r="J6" s="127"/>
      <c r="L6" s="150"/>
      <c r="Z6" s="152"/>
      <c r="AB6" s="72"/>
      <c r="AC6" s="70"/>
    </row>
    <row r="7" spans="1:31" ht="15.95" customHeight="1" x14ac:dyDescent="0.25">
      <c r="A7" s="183" t="s">
        <v>299</v>
      </c>
      <c r="B7" s="125"/>
      <c r="C7" s="125"/>
      <c r="D7" s="188" t="s">
        <v>918</v>
      </c>
      <c r="E7" s="189">
        <f>AB20</f>
        <v>6.64</v>
      </c>
      <c r="F7" s="190">
        <f>AB21</f>
        <v>0</v>
      </c>
      <c r="G7" s="185" t="s">
        <v>921</v>
      </c>
      <c r="H7" s="125"/>
      <c r="I7" s="125"/>
      <c r="J7" s="191" t="str">
        <f>ROUND(E7+F7, 1)&amp;"KW"</f>
        <v>6.6KW</v>
      </c>
      <c r="L7" s="150"/>
      <c r="Z7" s="152"/>
      <c r="AB7" s="72"/>
      <c r="AC7" s="70"/>
    </row>
    <row r="8" spans="1:31" ht="15.95" customHeight="1" x14ac:dyDescent="0.25">
      <c r="A8" s="183"/>
      <c r="B8" s="125"/>
      <c r="C8" s="125"/>
      <c r="D8" s="188" t="s">
        <v>893</v>
      </c>
      <c r="E8" s="182">
        <f>AA22</f>
        <v>20</v>
      </c>
      <c r="F8" s="182">
        <f>AB22</f>
        <v>20</v>
      </c>
      <c r="G8" s="185" t="s">
        <v>922</v>
      </c>
      <c r="H8" s="125"/>
      <c r="I8" s="125"/>
      <c r="J8" s="192"/>
      <c r="L8" s="150"/>
      <c r="Z8" s="152"/>
      <c r="AB8" s="72"/>
      <c r="AC8" s="70"/>
      <c r="AD8" s="70"/>
    </row>
    <row r="9" spans="1:31" x14ac:dyDescent="0.25">
      <c r="A9" s="126"/>
      <c r="B9" s="125"/>
      <c r="C9" s="125"/>
      <c r="D9" s="187"/>
      <c r="E9" s="125"/>
      <c r="F9" s="125"/>
      <c r="G9" s="125"/>
      <c r="H9" s="187"/>
      <c r="I9" s="193"/>
      <c r="J9" s="127"/>
      <c r="L9" s="150"/>
      <c r="Z9" s="152"/>
      <c r="AB9" s="70"/>
      <c r="AC9" s="70"/>
      <c r="AD9" s="70"/>
    </row>
    <row r="10" spans="1:31" ht="15.95" customHeight="1" x14ac:dyDescent="0.25">
      <c r="A10" s="183" t="s">
        <v>7</v>
      </c>
      <c r="B10" s="125"/>
      <c r="C10" s="125"/>
      <c r="D10" s="128" t="s">
        <v>310</v>
      </c>
      <c r="E10" s="194">
        <v>2</v>
      </c>
      <c r="F10" s="195" t="s">
        <v>912</v>
      </c>
      <c r="G10" s="196" t="s">
        <v>917</v>
      </c>
      <c r="H10" s="196"/>
      <c r="I10" s="269">
        <v>30</v>
      </c>
      <c r="J10" s="197" t="s">
        <v>73</v>
      </c>
      <c r="L10" s="150"/>
      <c r="Z10" s="152"/>
      <c r="AB10" s="70"/>
      <c r="AC10" s="70"/>
      <c r="AD10" s="70"/>
    </row>
    <row r="11" spans="1:31" ht="15.95" customHeight="1" x14ac:dyDescent="0.25">
      <c r="A11" s="183" t="s">
        <v>300</v>
      </c>
      <c r="B11" s="125"/>
      <c r="C11" s="125"/>
      <c r="D11" s="128" t="s">
        <v>311</v>
      </c>
      <c r="E11" s="182" cm="1">
        <f t="array" ref="E11">IF(AA26=TRUE, I10, INDEX('-calcs-'!A760:E780, E10, 4))</f>
        <v>14</v>
      </c>
      <c r="F11" s="198" t="s">
        <v>73</v>
      </c>
      <c r="G11" s="185" t="s">
        <v>911</v>
      </c>
      <c r="H11" s="125"/>
      <c r="I11" s="125"/>
      <c r="J11" s="127"/>
      <c r="L11" s="150"/>
      <c r="Z11" s="152"/>
      <c r="AB11" s="70"/>
      <c r="AC11" s="70"/>
      <c r="AD11" s="70"/>
    </row>
    <row r="12" spans="1:31" ht="15.95" customHeight="1" x14ac:dyDescent="0.25">
      <c r="A12" s="183" t="s">
        <v>301</v>
      </c>
      <c r="B12" s="125"/>
      <c r="C12" s="125"/>
      <c r="D12" s="128" t="s">
        <v>888</v>
      </c>
      <c r="E12" s="204">
        <v>15</v>
      </c>
      <c r="F12" s="125" t="s">
        <v>923</v>
      </c>
      <c r="G12" s="185" t="s">
        <v>889</v>
      </c>
      <c r="H12" s="125"/>
      <c r="I12" s="125"/>
      <c r="J12" s="127"/>
      <c r="L12" s="150"/>
      <c r="Z12" s="152"/>
      <c r="AB12" s="71"/>
      <c r="AC12" s="70"/>
      <c r="AD12" s="70"/>
    </row>
    <row r="13" spans="1:31" x14ac:dyDescent="0.25">
      <c r="A13" s="126"/>
      <c r="B13" s="125"/>
      <c r="C13" s="125"/>
      <c r="D13" s="199"/>
      <c r="E13" s="193"/>
      <c r="F13" s="125"/>
      <c r="G13" s="125"/>
      <c r="H13" s="125"/>
      <c r="I13" s="125"/>
      <c r="J13" s="127"/>
      <c r="L13" s="150"/>
      <c r="Z13" s="152"/>
      <c r="AB13" s="71"/>
      <c r="AC13" s="70"/>
      <c r="AD13" s="70"/>
    </row>
    <row r="14" spans="1:31" ht="15.95" customHeight="1" x14ac:dyDescent="0.25">
      <c r="A14" s="183" t="s">
        <v>8</v>
      </c>
      <c r="B14" s="125"/>
      <c r="C14" s="125"/>
      <c r="D14" s="128" t="s">
        <v>425</v>
      </c>
      <c r="E14" s="200" cm="1">
        <f t="array" ref="E14">INDEX('-calcs-'!A670:B680, AA24, 1)</f>
        <v>4</v>
      </c>
      <c r="F14" s="198" t="s">
        <v>72</v>
      </c>
      <c r="G14" s="185" t="s">
        <v>424</v>
      </c>
      <c r="H14" s="125"/>
      <c r="I14" s="125"/>
      <c r="J14" s="127"/>
      <c r="L14" s="150"/>
      <c r="Z14" s="152"/>
      <c r="AB14" s="70"/>
      <c r="AC14" s="70"/>
      <c r="AD14" s="70"/>
    </row>
    <row r="15" spans="1:31" ht="15.95" customHeight="1" x14ac:dyDescent="0.25">
      <c r="A15" s="183" t="s">
        <v>382</v>
      </c>
      <c r="B15" s="125"/>
      <c r="C15" s="125"/>
      <c r="D15" s="128" t="s">
        <v>309</v>
      </c>
      <c r="E15" s="205">
        <v>8</v>
      </c>
      <c r="F15" s="198" t="s">
        <v>894</v>
      </c>
      <c r="G15" s="185" t="s">
        <v>384</v>
      </c>
      <c r="H15" s="125"/>
      <c r="I15" s="125"/>
      <c r="J15" s="127"/>
      <c r="L15" s="150"/>
      <c r="Z15" s="152"/>
      <c r="AB15" s="70"/>
      <c r="AC15" s="70"/>
      <c r="AD15" s="70"/>
    </row>
    <row r="16" spans="1:31" ht="15.95" customHeight="1" x14ac:dyDescent="0.25">
      <c r="A16" s="183" t="s">
        <v>383</v>
      </c>
      <c r="B16" s="125"/>
      <c r="C16" s="125"/>
      <c r="D16" s="128" t="s">
        <v>920</v>
      </c>
      <c r="E16" s="190" cm="1">
        <f t="array" ref="E16">INDEX('-calcs-'!B736:G752, AA25, 1)</f>
        <v>29.952000000000002</v>
      </c>
      <c r="F16" s="198" t="s">
        <v>114</v>
      </c>
      <c r="G16" s="185" t="s">
        <v>386</v>
      </c>
      <c r="H16" s="125"/>
      <c r="I16" s="125"/>
      <c r="J16" s="127"/>
      <c r="L16" s="153"/>
      <c r="M16" s="154" t="s">
        <v>73</v>
      </c>
      <c r="N16" s="169">
        <f ca="1">IF($F7=0, '-calcs-'!N25, '-calcs-'!N128)</f>
        <v>34.368305424742402</v>
      </c>
      <c r="O16" s="169">
        <f ca="1">IF($F7=0, '-calcs-'!O25, '-calcs-'!O128)</f>
        <v>31.575880608982075</v>
      </c>
      <c r="P16" s="169">
        <f ca="1">IF($F7=0, '-calcs-'!P25, '-calcs-'!P128)</f>
        <v>29.12713884746918</v>
      </c>
      <c r="Q16" s="169">
        <f ca="1">IF($F7=0, '-calcs-'!Q25, '-calcs-'!Q128)</f>
        <v>25.303664868966585</v>
      </c>
      <c r="R16" s="169">
        <f ca="1">IF($F7=0, '-calcs-'!R25, '-calcs-'!R128)</f>
        <v>21.33519960195337</v>
      </c>
      <c r="S16" s="169">
        <f ca="1">IF($F7=0, '-calcs-'!S25, '-calcs-'!S128)</f>
        <v>18.301122638675327</v>
      </c>
      <c r="T16" s="169">
        <f ca="1">IF($F7=0, '-calcs-'!T25, '-calcs-'!T128)</f>
        <v>20.443771679999113</v>
      </c>
      <c r="U16" s="169">
        <f ca="1">IF($F7=0, '-calcs-'!U25, '-calcs-'!U128)</f>
        <v>25.131823341842882</v>
      </c>
      <c r="V16" s="169">
        <f ca="1">IF($F7=0, '-calcs-'!V25, '-calcs-'!V128)</f>
        <v>29.529892426665384</v>
      </c>
      <c r="W16" s="169">
        <f ca="1">IF($F7=0, '-calcs-'!W25, '-calcs-'!W128)</f>
        <v>32.177325953915073</v>
      </c>
      <c r="X16" s="169">
        <f ca="1">IF($F7=0, '-calcs-'!X25, '-calcs-'!X128)</f>
        <v>32.542489199052959</v>
      </c>
      <c r="Y16" s="169">
        <f ca="1">IF($F7=0, '-calcs-'!Y25, '-calcs-'!Y128)</f>
        <v>34.207203993063921</v>
      </c>
      <c r="Z16" s="389">
        <f ca="1">AVERAGE(N16:Y16)</f>
        <v>27.836984882110688</v>
      </c>
      <c r="AC16" s="70"/>
      <c r="AD16" s="70"/>
      <c r="AE16" s="70"/>
    </row>
    <row r="17" spans="1:31" x14ac:dyDescent="0.25">
      <c r="A17" s="126"/>
      <c r="B17" s="125"/>
      <c r="C17" s="125"/>
      <c r="D17" s="128"/>
      <c r="E17" s="125"/>
      <c r="F17" s="198"/>
      <c r="G17" s="185"/>
      <c r="H17" s="125"/>
      <c r="I17" s="125"/>
      <c r="J17" s="127"/>
      <c r="L17" s="153"/>
      <c r="M17" s="154" t="s">
        <v>12</v>
      </c>
      <c r="N17" s="155" t="s">
        <v>187</v>
      </c>
      <c r="O17" s="156" t="s">
        <v>188</v>
      </c>
      <c r="P17" s="157" t="s">
        <v>189</v>
      </c>
      <c r="Q17" s="157" t="s">
        <v>190</v>
      </c>
      <c r="R17" s="157" t="s">
        <v>35</v>
      </c>
      <c r="S17" s="157" t="s">
        <v>191</v>
      </c>
      <c r="T17" s="157" t="s">
        <v>192</v>
      </c>
      <c r="U17" s="157" t="s">
        <v>193</v>
      </c>
      <c r="V17" s="157" t="s">
        <v>194</v>
      </c>
      <c r="W17" s="157" t="s">
        <v>195</v>
      </c>
      <c r="X17" s="157" t="s">
        <v>196</v>
      </c>
      <c r="Y17" s="157" t="s">
        <v>197</v>
      </c>
      <c r="Z17" s="158" t="s">
        <v>198</v>
      </c>
      <c r="AC17" s="70"/>
      <c r="AD17" s="70"/>
      <c r="AE17" s="70"/>
    </row>
    <row r="18" spans="1:31" x14ac:dyDescent="0.25">
      <c r="A18" s="126"/>
      <c r="B18" s="125"/>
      <c r="C18" s="125"/>
      <c r="D18" s="187"/>
      <c r="E18" s="125"/>
      <c r="F18" s="125"/>
      <c r="G18" s="125"/>
      <c r="H18" s="185"/>
      <c r="I18" s="193"/>
      <c r="J18" s="127"/>
      <c r="L18" s="159"/>
      <c r="M18" s="160" t="s">
        <v>681</v>
      </c>
      <c r="N18" s="161">
        <f ca="1">N16/'-calcs-'!N29</f>
        <v>2.4548789589101716</v>
      </c>
      <c r="O18" s="162">
        <f ca="1">O16/'-calcs-'!O29</f>
        <v>2.2554200434987197</v>
      </c>
      <c r="P18" s="163">
        <f ca="1">P16/'-calcs-'!P29</f>
        <v>2.0805099176763702</v>
      </c>
      <c r="Q18" s="163">
        <f ca="1">Q16/'-calcs-'!Q29</f>
        <v>1.8074046334976133</v>
      </c>
      <c r="R18" s="163">
        <f ca="1">R16/'-calcs-'!R29</f>
        <v>1.5239428287109551</v>
      </c>
      <c r="S18" s="163">
        <f ca="1">S16/'-calcs-'!S29</f>
        <v>1.3072230456196663</v>
      </c>
      <c r="T18" s="163">
        <f ca="1">T16/'-calcs-'!T29</f>
        <v>1.4602694057142223</v>
      </c>
      <c r="U18" s="163">
        <f ca="1">U16/'-calcs-'!U29</f>
        <v>1.795130238703063</v>
      </c>
      <c r="V18" s="163">
        <f ca="1">V16/'-calcs-'!V29</f>
        <v>2.1092780304760987</v>
      </c>
      <c r="W18" s="163">
        <f ca="1">W16/'-calcs-'!W29</f>
        <v>2.2983804252796483</v>
      </c>
      <c r="X18" s="163">
        <f ca="1">X16/'-calcs-'!X29</f>
        <v>2.3244635142180683</v>
      </c>
      <c r="Y18" s="163">
        <f ca="1">Y16/'-calcs-'!Y29</f>
        <v>2.4433717137902802</v>
      </c>
      <c r="Z18" s="164"/>
    </row>
    <row r="19" spans="1:31" ht="15.75" thickBot="1" x14ac:dyDescent="0.3">
      <c r="A19" s="201"/>
      <c r="B19" s="202"/>
      <c r="C19" s="202"/>
      <c r="D19" s="202"/>
      <c r="E19" s="202"/>
      <c r="F19" s="202"/>
      <c r="G19" s="202"/>
      <c r="H19" s="202"/>
      <c r="I19" s="202"/>
      <c r="J19" s="203"/>
      <c r="L19" s="165"/>
      <c r="M19" s="166" t="str">
        <f t="shared" ref="M19:Y19" ca="1" si="0">IF(M18=MIN($N18:$Y18), "MIN.", "")</f>
        <v/>
      </c>
      <c r="N19" s="166" t="str">
        <f t="shared" ca="1" si="0"/>
        <v/>
      </c>
      <c r="O19" s="166" t="str">
        <f t="shared" ca="1" si="0"/>
        <v/>
      </c>
      <c r="P19" s="166" t="str">
        <f t="shared" ca="1" si="0"/>
        <v/>
      </c>
      <c r="Q19" s="166" t="str">
        <f t="shared" ca="1" si="0"/>
        <v/>
      </c>
      <c r="R19" s="166" t="str">
        <f t="shared" ca="1" si="0"/>
        <v/>
      </c>
      <c r="S19" s="167" t="str">
        <f t="shared" ca="1" si="0"/>
        <v>MIN.</v>
      </c>
      <c r="T19" s="166" t="str">
        <f t="shared" ca="1" si="0"/>
        <v/>
      </c>
      <c r="U19" s="166" t="str">
        <f t="shared" ca="1" si="0"/>
        <v/>
      </c>
      <c r="V19" s="166" t="str">
        <f t="shared" ca="1" si="0"/>
        <v/>
      </c>
      <c r="W19" s="166" t="str">
        <f t="shared" ca="1" si="0"/>
        <v/>
      </c>
      <c r="X19" s="166" t="str">
        <f t="shared" ca="1" si="0"/>
        <v/>
      </c>
      <c r="Y19" s="166" t="str">
        <f t="shared" ca="1" si="0"/>
        <v/>
      </c>
      <c r="Z19" s="168"/>
    </row>
    <row r="20" spans="1:31" ht="15.75" thickBot="1" x14ac:dyDescent="0.3">
      <c r="AA20" s="266">
        <v>8</v>
      </c>
      <c r="AB20" s="268">
        <f>VLOOKUP(AA20, '-calcs-'!A721:B733, 2, FALSE)</f>
        <v>6.64</v>
      </c>
      <c r="AC20" s="147" t="s">
        <v>892</v>
      </c>
    </row>
    <row r="21" spans="1:31" ht="15" customHeight="1" x14ac:dyDescent="0.25">
      <c r="A21" s="5"/>
      <c r="B21" s="6"/>
      <c r="C21" s="392" t="s">
        <v>679</v>
      </c>
      <c r="D21" s="392"/>
      <c r="E21" s="392"/>
      <c r="F21" s="392"/>
      <c r="G21" s="392"/>
      <c r="H21" s="392"/>
      <c r="I21" s="6"/>
      <c r="J21" s="7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266">
        <v>1</v>
      </c>
      <c r="AB21" s="268">
        <f>VLOOKUP(AA21, '-calcs-'!A721:B733, 2, FALSE)</f>
        <v>0</v>
      </c>
      <c r="AC21" s="147" t="s">
        <v>636</v>
      </c>
    </row>
    <row r="22" spans="1:31" ht="15" customHeight="1" x14ac:dyDescent="0.25">
      <c r="A22" s="8"/>
      <c r="C22" s="393"/>
      <c r="D22" s="393"/>
      <c r="E22" s="393"/>
      <c r="F22" s="393"/>
      <c r="G22" s="393"/>
      <c r="H22" s="393"/>
      <c r="J22" s="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266">
        <v>20</v>
      </c>
      <c r="AB22" s="266">
        <v>20</v>
      </c>
      <c r="AC22" s="147" t="s">
        <v>927</v>
      </c>
    </row>
    <row r="23" spans="1:31" ht="15" customHeight="1" x14ac:dyDescent="0.45">
      <c r="A23" s="8"/>
      <c r="C23" s="10"/>
      <c r="D23" s="10"/>
      <c r="E23" s="10"/>
      <c r="F23" s="10"/>
      <c r="G23" s="10"/>
      <c r="H23" s="10"/>
      <c r="J23" s="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266">
        <v>5</v>
      </c>
      <c r="AB23" s="268" t="str" cm="1">
        <f t="array" ref="AB23">INDEX(Locations, Calculator!AA23)</f>
        <v>Sydney</v>
      </c>
      <c r="AC23" s="147" t="s">
        <v>891</v>
      </c>
    </row>
    <row r="24" spans="1:31" ht="15" customHeight="1" x14ac:dyDescent="0.25">
      <c r="A24" s="123"/>
      <c r="B24" s="109"/>
      <c r="C24" s="109"/>
      <c r="D24" s="124" t="s">
        <v>680</v>
      </c>
      <c r="E24" s="109"/>
      <c r="F24" s="109"/>
      <c r="G24" s="109"/>
      <c r="H24" s="109"/>
      <c r="I24" s="109"/>
      <c r="J24" s="108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266">
        <v>2</v>
      </c>
      <c r="AB24" s="147" t="s">
        <v>890</v>
      </c>
    </row>
    <row r="25" spans="1:31" x14ac:dyDescent="0.25">
      <c r="A25" s="118"/>
      <c r="B25" s="110"/>
      <c r="C25" s="110"/>
      <c r="D25" s="116" t="s">
        <v>302</v>
      </c>
      <c r="E25" s="176">
        <f>'-calcs-'!C85</f>
        <v>14</v>
      </c>
      <c r="F25" s="119" t="s">
        <v>114</v>
      </c>
      <c r="G25" s="117" t="s">
        <v>303</v>
      </c>
      <c r="H25" s="110"/>
      <c r="I25" s="110"/>
      <c r="J25" s="112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266">
        <v>15</v>
      </c>
      <c r="AB25" s="147" t="s">
        <v>915</v>
      </c>
    </row>
    <row r="26" spans="1:31" x14ac:dyDescent="0.25">
      <c r="A26" s="118"/>
      <c r="B26" s="110"/>
      <c r="C26" s="110"/>
      <c r="D26" s="116" t="s">
        <v>304</v>
      </c>
      <c r="E26" s="177">
        <f>E14</f>
        <v>4</v>
      </c>
      <c r="F26" s="119" t="s">
        <v>75</v>
      </c>
      <c r="G26" s="117" t="s">
        <v>305</v>
      </c>
      <c r="H26" s="110"/>
      <c r="I26" s="110"/>
      <c r="J26" s="112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267" t="b">
        <v>0</v>
      </c>
      <c r="AB26" s="147" t="s">
        <v>909</v>
      </c>
    </row>
    <row r="27" spans="1:31" x14ac:dyDescent="0.25">
      <c r="A27" s="118"/>
      <c r="B27" s="110"/>
      <c r="C27" s="110"/>
      <c r="D27" s="116" t="s">
        <v>576</v>
      </c>
      <c r="E27" s="178">
        <f ca="1">MAX(N16:Y16)</f>
        <v>34.368305424742402</v>
      </c>
      <c r="F27" s="119" t="s">
        <v>587</v>
      </c>
      <c r="G27" s="117" t="s">
        <v>588</v>
      </c>
      <c r="H27" s="110"/>
      <c r="I27" s="110"/>
      <c r="J27" s="112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</row>
    <row r="28" spans="1:31" x14ac:dyDescent="0.25">
      <c r="A28" s="118"/>
      <c r="B28" s="110"/>
      <c r="C28" s="110"/>
      <c r="D28" s="116" t="s">
        <v>438</v>
      </c>
      <c r="E28" s="176">
        <f>'-calcs-'!C58</f>
        <v>29.951999999999998</v>
      </c>
      <c r="F28" s="119" t="s">
        <v>114</v>
      </c>
      <c r="G28" s="117" t="s">
        <v>306</v>
      </c>
      <c r="H28" s="110"/>
      <c r="I28" s="110"/>
      <c r="J28" s="112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</row>
    <row r="29" spans="1:31" x14ac:dyDescent="0.25">
      <c r="A29" s="120"/>
      <c r="B29" s="121" t="s">
        <v>494</v>
      </c>
      <c r="C29" s="121" t="str">
        <f>'-calcs-'!C93&amp;" nom. "</f>
        <v xml:space="preserve">2.1 nom. </v>
      </c>
      <c r="D29" s="116" t="s">
        <v>678</v>
      </c>
      <c r="E29" s="179">
        <f>'-calcs-'!C96</f>
        <v>2.4</v>
      </c>
      <c r="F29" s="119" t="s">
        <v>493</v>
      </c>
      <c r="G29" s="117" t="s">
        <v>916</v>
      </c>
      <c r="H29" s="110"/>
      <c r="I29" s="110"/>
      <c r="J29" s="112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</row>
    <row r="30" spans="1:31" x14ac:dyDescent="0.25">
      <c r="A30" s="120"/>
      <c r="B30" s="110"/>
      <c r="C30" s="110"/>
      <c r="D30" s="116" t="s">
        <v>433</v>
      </c>
      <c r="E30" s="180" t="str">
        <f>IF(E29&lt;1.5,"Occasional",IF(AND(E29&gt;=1.5, E29&lt;2.5), "Infrequent", "Rare "))</f>
        <v>Infrequent</v>
      </c>
      <c r="F30" s="119" t="s">
        <v>434</v>
      </c>
      <c r="G30" s="117" t="s">
        <v>307</v>
      </c>
      <c r="H30" s="110"/>
      <c r="I30" s="394" t="str">
        <f>IF(E29&gt;=2,"Battery OK Off-grid","Battery: Expert Setup")</f>
        <v>Battery OK Off-grid</v>
      </c>
      <c r="J30" s="395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</row>
    <row r="31" spans="1:31" x14ac:dyDescent="0.25">
      <c r="A31" s="122"/>
      <c r="B31" s="110"/>
      <c r="C31" s="110"/>
      <c r="D31" s="110"/>
      <c r="E31" s="110"/>
      <c r="F31" s="110"/>
      <c r="G31" s="110"/>
      <c r="H31" s="110"/>
      <c r="I31" s="110"/>
      <c r="J31" s="112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</row>
    <row r="32" spans="1:31" x14ac:dyDescent="0.25">
      <c r="A32" s="122"/>
      <c r="B32" s="110"/>
      <c r="C32" s="110"/>
      <c r="D32" s="116" t="s">
        <v>898</v>
      </c>
      <c r="E32" s="179">
        <f ca="1">MIN($N18:$Y18)</f>
        <v>1.3072230456196663</v>
      </c>
      <c r="F32" s="170" t="s">
        <v>897</v>
      </c>
      <c r="G32" s="117" t="s">
        <v>899</v>
      </c>
      <c r="H32" s="110"/>
      <c r="I32" s="394" t="str">
        <f ca="1">IF(E32&lt;1.2,IF(E32&lt;1.1,"Increase Solar","Could Increase Solar"), IF(E32&lt;1.6, "Solar Array OK", "Decrease Solar Array"))</f>
        <v>Solar Array OK</v>
      </c>
      <c r="J32" s="395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</row>
    <row r="33" spans="1:26" x14ac:dyDescent="0.25">
      <c r="A33" s="122"/>
      <c r="B33" s="110"/>
      <c r="C33" s="110"/>
      <c r="D33" s="110"/>
      <c r="E33" s="110"/>
      <c r="F33" s="110"/>
      <c r="G33" s="110"/>
      <c r="H33" s="110"/>
      <c r="I33" s="117" t="s">
        <v>902</v>
      </c>
      <c r="J33" s="112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4" spans="1:26" x14ac:dyDescent="0.25">
      <c r="A34" s="122"/>
      <c r="B34" s="110"/>
      <c r="C34" s="110"/>
      <c r="D34" s="110"/>
      <c r="E34" s="177">
        <f>'-calcs-'!C9</f>
        <v>415</v>
      </c>
      <c r="F34" s="170" t="s">
        <v>440</v>
      </c>
      <c r="G34" s="110"/>
      <c r="H34" s="110"/>
      <c r="I34" s="117" t="s">
        <v>903</v>
      </c>
      <c r="J34" s="112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396">
        <f>Loads!M17</f>
        <v>0.79863945578231277</v>
      </c>
      <c r="Y34" s="390">
        <f>Loads!M29</f>
        <v>0.20094787990565535</v>
      </c>
      <c r="Z34" s="172" t="s">
        <v>900</v>
      </c>
    </row>
    <row r="35" spans="1:26" x14ac:dyDescent="0.25">
      <c r="A35" s="111"/>
      <c r="B35" s="110"/>
      <c r="C35" s="110"/>
      <c r="D35" s="110"/>
      <c r="E35" s="181" t="str">
        <f>'-calcs-'!C45</f>
        <v>Gel</v>
      </c>
      <c r="F35" s="170" t="s">
        <v>308</v>
      </c>
      <c r="G35" s="110"/>
      <c r="H35" s="110"/>
      <c r="I35" s="110"/>
      <c r="J35" s="112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396"/>
      <c r="Y35" s="390"/>
      <c r="Z35" s="172" t="s">
        <v>901</v>
      </c>
    </row>
    <row r="36" spans="1:26" ht="15.75" thickBot="1" x14ac:dyDescent="0.3">
      <c r="A36" s="113"/>
      <c r="B36" s="114"/>
      <c r="C36" s="114"/>
      <c r="D36" s="114"/>
      <c r="E36" s="114"/>
      <c r="F36" s="114"/>
      <c r="G36" s="114"/>
      <c r="H36" s="114"/>
      <c r="I36" s="114"/>
      <c r="J36" s="115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71" t="s">
        <v>547</v>
      </c>
      <c r="Y36" s="171" t="s">
        <v>244</v>
      </c>
      <c r="Z36" s="110"/>
    </row>
    <row r="37" spans="1:26" ht="15.75" thickBot="1" x14ac:dyDescent="0.3">
      <c r="E37" s="1" t="str">
        <f ca="1">IF(E32&lt;1.6, "Solar Array Size-OK", "Decrease Solar Array Size")</f>
        <v>Solar Array Size-OK</v>
      </c>
    </row>
    <row r="38" spans="1:26" ht="15.75" x14ac:dyDescent="0.25">
      <c r="A38" s="11"/>
      <c r="B38" s="12" t="s">
        <v>385</v>
      </c>
      <c r="L38" s="5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x14ac:dyDescent="0.25">
      <c r="A39" s="13" t="s">
        <v>6</v>
      </c>
      <c r="B39" s="11" t="s">
        <v>435</v>
      </c>
      <c r="L39" s="8"/>
      <c r="P39" s="391" t="s">
        <v>592</v>
      </c>
      <c r="Q39" s="391"/>
      <c r="R39" s="391"/>
      <c r="S39" s="391"/>
      <c r="T39" s="391"/>
      <c r="U39" s="391"/>
      <c r="X39" s="53"/>
      <c r="Z39" s="9"/>
    </row>
    <row r="40" spans="1:26" x14ac:dyDescent="0.25">
      <c r="A40" s="13" t="s">
        <v>299</v>
      </c>
      <c r="B40" s="14" t="s">
        <v>436</v>
      </c>
      <c r="L40" s="8"/>
      <c r="P40" s="391"/>
      <c r="Q40" s="391"/>
      <c r="R40" s="391"/>
      <c r="S40" s="391"/>
      <c r="T40" s="391"/>
      <c r="U40" s="391"/>
      <c r="Z40" s="9"/>
    </row>
    <row r="41" spans="1:26" x14ac:dyDescent="0.25">
      <c r="A41" s="13" t="s">
        <v>7</v>
      </c>
      <c r="B41" s="11" t="s">
        <v>443</v>
      </c>
      <c r="L41" s="218"/>
      <c r="M41" s="76"/>
      <c r="N41" s="46">
        <f>E14</f>
        <v>4</v>
      </c>
      <c r="O41" s="76" t="s">
        <v>591</v>
      </c>
      <c r="P41" s="76"/>
      <c r="Q41" s="56">
        <f>VLOOKUP(E$14, '-calcs-'!A670:T679, 20, FALSE)</f>
        <v>1</v>
      </c>
      <c r="R41" s="206" t="str">
        <f>VLOOKUP(E$14, '-calcs-'!A670:T679, 3, FALSE)&amp;" "&amp;VLOOKUP(E$14, '-calcs-'!A670:T679, 2, FALSE)</f>
        <v>Victron MultiplusII 48/5000/70</v>
      </c>
      <c r="S41" s="207"/>
      <c r="T41" s="207"/>
      <c r="U41" s="207"/>
      <c r="V41" s="207"/>
      <c r="W41" s="207"/>
      <c r="X41" s="76"/>
      <c r="Y41" s="76"/>
      <c r="Z41" s="208"/>
    </row>
    <row r="42" spans="1:26" x14ac:dyDescent="0.25">
      <c r="A42" s="13" t="s">
        <v>300</v>
      </c>
      <c r="B42" s="11" t="s">
        <v>441</v>
      </c>
      <c r="L42" s="218"/>
      <c r="M42" s="217" t="s">
        <v>637</v>
      </c>
      <c r="N42" s="46">
        <f>IFERROR(VLOOKUP(R42,'-calcs-'!B645:T666,14,FALSE)/1000, "")</f>
        <v>8.1199999999999992</v>
      </c>
      <c r="O42" s="76" t="s">
        <v>676</v>
      </c>
      <c r="P42" s="76"/>
      <c r="Q42" s="56">
        <f>IFERROR(VLOOKUP('-calcs-'!C5, '-calcs-'!$B$721:$AA$732, 25, FALSE), "")</f>
        <v>1</v>
      </c>
      <c r="R42" s="206" t="str">
        <f>IFERROR(VLOOKUP(VLOOKUP('-calcs-'!C5, '-calcs-'!$B$721:$AB$732, 24, FALSE),'-calcs-'!$A$645:$U$666, 2, FALSE), "")</f>
        <v>SmartSolar MPPT 450/100 Tr</v>
      </c>
      <c r="S42" s="207"/>
      <c r="T42" s="207"/>
      <c r="U42" s="207"/>
      <c r="V42" s="209"/>
      <c r="W42" s="209"/>
      <c r="X42" s="76"/>
      <c r="Y42" s="76"/>
      <c r="Z42" s="208"/>
    </row>
    <row r="43" spans="1:26" x14ac:dyDescent="0.25">
      <c r="A43" s="13" t="s">
        <v>301</v>
      </c>
      <c r="B43" s="11" t="s">
        <v>442</v>
      </c>
      <c r="L43" s="218"/>
      <c r="M43" s="217" t="s">
        <v>636</v>
      </c>
      <c r="N43" s="46" t="str">
        <f>IFERROR(VLOOKUP(R43,'-calcs-'!B646:T667,14,FALSE), "")</f>
        <v/>
      </c>
      <c r="O43" s="76" t="s">
        <v>676</v>
      </c>
      <c r="P43" s="76"/>
      <c r="Q43" s="56">
        <f>IFERROR(VLOOKUP('-calcs-'!C107, '-calcs-'!$B$721:$AA$732, 25, FALSE), "")</f>
        <v>0</v>
      </c>
      <c r="R43" s="206" t="str">
        <f>IFERROR(VLOOKUP(VLOOKUP('-calcs-'!C107, '-calcs-'!$B$721:$AB$732, 24, FALSE),'-calcs-'!$A$645:$U$666, 2, FALSE), "")</f>
        <v/>
      </c>
      <c r="S43" s="207"/>
      <c r="T43" s="207"/>
      <c r="U43" s="207"/>
      <c r="V43" s="209"/>
      <c r="W43" s="209"/>
      <c r="X43" s="76"/>
      <c r="Y43" s="76"/>
      <c r="Z43" s="208"/>
    </row>
    <row r="44" spans="1:26" x14ac:dyDescent="0.25">
      <c r="A44" s="13" t="s">
        <v>8</v>
      </c>
      <c r="B44" s="11" t="s">
        <v>444</v>
      </c>
      <c r="L44" s="218"/>
      <c r="M44" s="217"/>
      <c r="N44" s="46">
        <f>E16</f>
        <v>29.952000000000002</v>
      </c>
      <c r="O44" s="76" t="s">
        <v>590</v>
      </c>
      <c r="P44" s="76"/>
      <c r="Q44" s="56">
        <f>VLOOKUP(E$16, '-calcs-'!B736:K752, 10, FALSE)</f>
        <v>24</v>
      </c>
      <c r="R44" s="206" t="str">
        <f>VLOOKUP(VLOOKUP(E$16, '-calcs-'!B736:J752, 2, FALSE),'-calcs-'!A684:S699, 2, FALSE)</f>
        <v>GNB 676Ah Gel</v>
      </c>
      <c r="S44" s="207"/>
      <c r="T44" s="207"/>
      <c r="U44" s="207"/>
      <c r="V44" s="207"/>
      <c r="W44" s="207"/>
      <c r="X44" s="210"/>
      <c r="Y44" s="76"/>
      <c r="Z44" s="208"/>
    </row>
    <row r="45" spans="1:26" x14ac:dyDescent="0.25">
      <c r="A45" s="13" t="s">
        <v>382</v>
      </c>
      <c r="B45" s="11" t="s">
        <v>437</v>
      </c>
      <c r="L45" s="218"/>
      <c r="M45" s="217" t="s">
        <v>637</v>
      </c>
      <c r="N45" s="106">
        <f>E7</f>
        <v>6.64</v>
      </c>
      <c r="O45" s="76" t="s">
        <v>589</v>
      </c>
      <c r="P45" s="76"/>
      <c r="Q45" s="56">
        <f>VLOOKUP('-calcs-'!C5, '-calcs-'!$B$721:$AA$732, 6, FALSE)</f>
        <v>16</v>
      </c>
      <c r="R45" s="206" t="str">
        <f>VLOOKUP(VLOOKUP('-calcs-'!C5, '-calcs-'!$B$721:$AB$732, 2, FALSE),'-calcs-'!A702:T711, 2, FALSE)&amp; " Solar Panels"</f>
        <v>Trina 415W Mono PERC Solar Panels</v>
      </c>
      <c r="S45" s="207"/>
      <c r="T45" s="76"/>
      <c r="U45" s="76"/>
      <c r="V45" s="76"/>
      <c r="W45" s="76"/>
      <c r="X45" s="76"/>
      <c r="Y45" s="76"/>
      <c r="Z45" s="208"/>
    </row>
    <row r="46" spans="1:26" x14ac:dyDescent="0.25">
      <c r="A46" s="13" t="s">
        <v>383</v>
      </c>
      <c r="B46" s="11" t="s">
        <v>445</v>
      </c>
      <c r="L46" s="218"/>
      <c r="M46" s="217"/>
      <c r="N46" s="106"/>
      <c r="O46" s="76"/>
      <c r="P46" s="76"/>
      <c r="Q46" s="56"/>
      <c r="R46" s="206"/>
      <c r="S46" s="207"/>
      <c r="T46" s="207"/>
      <c r="U46" s="207"/>
      <c r="V46" s="207"/>
      <c r="W46" s="209"/>
      <c r="X46" s="76"/>
      <c r="Y46" s="76"/>
      <c r="Z46" s="208"/>
    </row>
    <row r="47" spans="1:26" x14ac:dyDescent="0.25">
      <c r="B47" s="11" t="s">
        <v>924</v>
      </c>
      <c r="L47" s="218"/>
      <c r="M47" s="76"/>
      <c r="N47" s="105">
        <f>SUM(N45:N46)</f>
        <v>6.64</v>
      </c>
      <c r="O47" s="217" t="s">
        <v>677</v>
      </c>
      <c r="P47" s="76"/>
      <c r="Q47" s="47">
        <v>1</v>
      </c>
      <c r="R47" s="211" t="s">
        <v>595</v>
      </c>
      <c r="S47" s="212"/>
      <c r="T47" s="212"/>
      <c r="U47" s="212"/>
      <c r="V47" s="212"/>
      <c r="W47" s="212"/>
      <c r="X47" s="212"/>
      <c r="Y47" s="76"/>
      <c r="Z47" s="208"/>
    </row>
    <row r="48" spans="1:26" x14ac:dyDescent="0.25">
      <c r="L48" s="218"/>
      <c r="M48" s="76"/>
      <c r="N48" s="76"/>
      <c r="O48" s="76"/>
      <c r="P48" s="76"/>
      <c r="Q48" s="47">
        <v>1</v>
      </c>
      <c r="R48" s="211" t="s">
        <v>593</v>
      </c>
      <c r="S48" s="212"/>
      <c r="T48" s="212"/>
      <c r="U48" s="212"/>
      <c r="V48" s="212"/>
      <c r="W48" s="212"/>
      <c r="X48" s="212"/>
      <c r="Y48" s="76"/>
      <c r="Z48" s="208"/>
    </row>
    <row r="49" spans="1:26" ht="15.75" x14ac:dyDescent="0.25">
      <c r="A49" s="12" t="s">
        <v>498</v>
      </c>
      <c r="L49" s="218"/>
      <c r="M49" s="76"/>
      <c r="N49" s="76"/>
      <c r="O49" s="76"/>
      <c r="P49" s="76"/>
      <c r="Q49" s="47">
        <v>1</v>
      </c>
      <c r="R49" s="211" t="s">
        <v>439</v>
      </c>
      <c r="S49" s="212"/>
      <c r="T49" s="212"/>
      <c r="U49" s="212"/>
      <c r="V49" s="212"/>
      <c r="W49" s="212"/>
      <c r="X49" s="212"/>
      <c r="Y49" s="76"/>
      <c r="Z49" s="208"/>
    </row>
    <row r="50" spans="1:26" x14ac:dyDescent="0.25">
      <c r="A50" s="11" t="s">
        <v>497</v>
      </c>
      <c r="L50" s="218"/>
      <c r="M50" s="76"/>
      <c r="N50" s="76"/>
      <c r="O50" s="76"/>
      <c r="P50" s="76"/>
      <c r="Q50" s="47">
        <v>1</v>
      </c>
      <c r="R50" s="211" t="s">
        <v>594</v>
      </c>
      <c r="S50" s="212"/>
      <c r="T50" s="212"/>
      <c r="U50" s="212"/>
      <c r="V50" s="212"/>
      <c r="W50" s="212"/>
      <c r="X50" s="212"/>
      <c r="Y50" s="76"/>
      <c r="Z50" s="208"/>
    </row>
    <row r="51" spans="1:26" x14ac:dyDescent="0.25">
      <c r="A51" s="11" t="s">
        <v>504</v>
      </c>
      <c r="L51" s="218"/>
      <c r="M51" s="76"/>
      <c r="N51" s="76"/>
      <c r="O51" s="76"/>
      <c r="P51" s="76"/>
      <c r="Q51" s="47">
        <v>1</v>
      </c>
      <c r="R51" s="213" t="s">
        <v>235</v>
      </c>
      <c r="S51" s="213"/>
      <c r="T51" s="213"/>
      <c r="U51" s="213"/>
      <c r="V51" s="213"/>
      <c r="W51" s="213"/>
      <c r="X51" s="213"/>
      <c r="Y51" s="76"/>
      <c r="Z51" s="208"/>
    </row>
    <row r="52" spans="1:26" x14ac:dyDescent="0.25">
      <c r="A52" s="11"/>
      <c r="L52" s="218"/>
      <c r="M52" s="76"/>
      <c r="N52" s="76"/>
      <c r="O52" s="76"/>
      <c r="P52" s="76"/>
      <c r="Q52" s="47">
        <v>1</v>
      </c>
      <c r="R52" s="213" t="s">
        <v>236</v>
      </c>
      <c r="S52" s="76"/>
      <c r="T52" s="76"/>
      <c r="U52" s="76"/>
      <c r="V52" s="76"/>
      <c r="W52" s="76"/>
      <c r="X52" s="76"/>
      <c r="Y52" s="76"/>
      <c r="Z52" s="208"/>
    </row>
    <row r="53" spans="1:26" ht="15.75" thickBot="1" x14ac:dyDescent="0.3">
      <c r="A53" s="11"/>
      <c r="L53" s="216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5"/>
    </row>
    <row r="54" spans="1:26" x14ac:dyDescent="0.25">
      <c r="A54" s="104" t="s">
        <v>703</v>
      </c>
    </row>
  </sheetData>
  <sheetProtection algorithmName="SHA-512" hashValue="wJui74mBdr+tgniV3Xfre/LukD57Z4aKzXQ6CSJb/dhqD6j3yMSy0KwMEsjXjtXGNUADxAwVjdE+uT/YHRYCdQ==" saltValue="uT4qX7Dx2Mx2MW3JM+8bnA==" spinCount="100000" sheet="1" objects="1" scenarios="1" selectLockedCells="1"/>
  <dataConsolidate/>
  <mergeCells count="8">
    <mergeCell ref="Y34:Y35"/>
    <mergeCell ref="P39:U40"/>
    <mergeCell ref="D1:F2"/>
    <mergeCell ref="C21:H22"/>
    <mergeCell ref="I32:J32"/>
    <mergeCell ref="X34:X35"/>
    <mergeCell ref="I30:J30"/>
    <mergeCell ref="E3:H3"/>
  </mergeCells>
  <phoneticPr fontId="17" type="noConversion"/>
  <conditionalFormatting sqref="I10">
    <cfRule type="expression" dxfId="6" priority="10">
      <formula>($AA$26=TRUE)</formula>
    </cfRule>
  </conditionalFormatting>
  <conditionalFormatting sqref="I30">
    <cfRule type="expression" dxfId="5" priority="1">
      <formula>($I$30="Battery OK Off-grid")</formula>
    </cfRule>
    <cfRule type="expression" dxfId="4" priority="2">
      <formula>($I$30="Battery: Expert Setup")</formula>
    </cfRule>
  </conditionalFormatting>
  <conditionalFormatting sqref="I32">
    <cfRule type="expression" dxfId="3" priority="5">
      <formula>($I$32="Solar Array OK")</formula>
    </cfRule>
    <cfRule type="expression" dxfId="2" priority="6">
      <formula>($I$32="Could Increase Solar")</formula>
    </cfRule>
    <cfRule type="expression" dxfId="1" priority="7">
      <formula>($I$32="Decrease Solar Array")</formula>
    </cfRule>
    <cfRule type="expression" dxfId="0" priority="8">
      <formula>($I$32="Increase Solar")</formula>
    </cfRule>
  </conditionalFormatting>
  <dataValidations disablePrompts="1" count="2">
    <dataValidation type="list" allowBlank="1" showInputMessage="1" showErrorMessage="1" sqref="E5:E6" xr:uid="{D164239C-EB21-4264-A33F-C430B7CE59BE}">
      <formula1>Locations</formula1>
    </dataValidation>
    <dataValidation type="list" allowBlank="1" showInputMessage="1" showErrorMessage="1" sqref="E10" xr:uid="{C21448DE-87BC-4EFE-AC04-3EB8CA16739E}">
      <formula1>UserProfiles</formula1>
    </dataValidation>
  </dataValidations>
  <pageMargins left="0.7" right="0.7" top="0.75" bottom="0.75" header="0.3" footer="0.3"/>
  <pageSetup paperSize="9" scale="5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Drop Down 4">
              <controlPr defaultSize="0" autoLine="0" autoPict="0" altText="People">
                <anchor moveWithCells="1">
                  <from>
                    <xdr:col>4</xdr:col>
                    <xdr:colOff>0</xdr:colOff>
                    <xdr:row>8</xdr:row>
                    <xdr:rowOff>171450</xdr:rowOff>
                  </from>
                  <to>
                    <xdr:col>5</xdr:col>
                    <xdr:colOff>9525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Drop Down 8">
              <controlPr defaultSize="0" autoLine="0" autoPict="0">
                <anchor moveWithCells="1">
                  <from>
                    <xdr:col>3</xdr:col>
                    <xdr:colOff>1057275</xdr:colOff>
                    <xdr:row>5</xdr:row>
                    <xdr:rowOff>161925</xdr:rowOff>
                  </from>
                  <to>
                    <xdr:col>5</xdr:col>
                    <xdr:colOff>9525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Drop Down 10">
              <controlPr defaultSize="0" autoLine="0" autoPict="0">
                <anchor moveWithCells="1">
                  <from>
                    <xdr:col>4</xdr:col>
                    <xdr:colOff>800100</xdr:colOff>
                    <xdr:row>5</xdr:row>
                    <xdr:rowOff>171450</xdr:rowOff>
                  </from>
                  <to>
                    <xdr:col>6</xdr:col>
                    <xdr:colOff>9525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7" name="Drop Down 15">
              <controlPr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9525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Spinner 16">
              <controlPr defaultSize="0" autoPict="0">
                <anchor moveWithCells="1" siz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5</xdr:col>
                    <xdr:colOff>276225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Drop Down 18">
              <controlPr defaultSize="0" autoLine="0" autoPict="0">
                <anchor moveWithCells="1">
                  <from>
                    <xdr:col>4</xdr:col>
                    <xdr:colOff>0</xdr:colOff>
                    <xdr:row>12</xdr:row>
                    <xdr:rowOff>171450</xdr:rowOff>
                  </from>
                  <to>
                    <xdr:col>5</xdr:col>
                    <xdr:colOff>9525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0" name="Spinner 20">
              <controlPr defaultSize="0" autoPict="0">
                <anchor moveWithCells="1" sizeWithCells="1">
                  <from>
                    <xdr:col>5</xdr:col>
                    <xdr:colOff>9525</xdr:colOff>
                    <xdr:row>14</xdr:row>
                    <xdr:rowOff>0</xdr:rowOff>
                  </from>
                  <to>
                    <xdr:col>5</xdr:col>
                    <xdr:colOff>276225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1" name="Drop Down 26">
              <controlPr defaultSize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5</xdr:col>
                    <xdr:colOff>9525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2" name="Spinner 28">
              <controlPr defaultSize="0" autoPict="0">
                <anchor moveWithCells="1" sizeWithCells="1">
                  <from>
                    <xdr:col>3</xdr:col>
                    <xdr:colOff>809625</xdr:colOff>
                    <xdr:row>6</xdr:row>
                    <xdr:rowOff>200025</xdr:rowOff>
                  </from>
                  <to>
                    <xdr:col>3</xdr:col>
                    <xdr:colOff>1057275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3" name="Spinner 35">
              <controlPr defaultSize="0" autoPict="0">
                <anchor moveWithCells="1" sizeWithCells="1">
                  <from>
                    <xdr:col>6</xdr:col>
                    <xdr:colOff>9525</xdr:colOff>
                    <xdr:row>7</xdr:row>
                    <xdr:rowOff>0</xdr:rowOff>
                  </from>
                  <to>
                    <xdr:col>6</xdr:col>
                    <xdr:colOff>266700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4" name="Check Box 36">
              <controlPr defaultSize="0" autoFill="0" autoLine="0" autoPict="0">
                <anchor moveWithCells="1">
                  <from>
                    <xdr:col>6</xdr:col>
                    <xdr:colOff>28575</xdr:colOff>
                    <xdr:row>8</xdr:row>
                    <xdr:rowOff>180975</xdr:rowOff>
                  </from>
                  <to>
                    <xdr:col>6</xdr:col>
                    <xdr:colOff>247650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44378-66F1-4DDC-B2BB-97AF4D2199F0}">
  <sheetPr>
    <tabColor theme="8" tint="-0.499984740745262"/>
    <pageSetUpPr fitToPage="1"/>
  </sheetPr>
  <dimension ref="A1:AF117"/>
  <sheetViews>
    <sheetView zoomScale="85" zoomScaleNormal="85" workbookViewId="0">
      <selection activeCell="Q1" sqref="Q1"/>
    </sheetView>
  </sheetViews>
  <sheetFormatPr defaultColWidth="8.85546875" defaultRowHeight="15" x14ac:dyDescent="0.25"/>
  <cols>
    <col min="1" max="1" width="5" style="1" customWidth="1"/>
    <col min="2" max="2" width="6.5703125" style="1" customWidth="1"/>
    <col min="3" max="3" width="11.42578125" style="1" customWidth="1"/>
    <col min="4" max="4" width="9.42578125" style="1" customWidth="1"/>
    <col min="5" max="5" width="8.7109375" style="1" customWidth="1"/>
    <col min="6" max="7" width="8.85546875" style="1"/>
    <col min="8" max="8" width="9" style="1" bestFit="1" customWidth="1"/>
    <col min="9" max="10" width="8.85546875" style="1"/>
    <col min="11" max="11" width="9" style="1" customWidth="1"/>
    <col min="12" max="12" width="8.85546875" style="1"/>
    <col min="13" max="13" width="14.85546875" style="1" customWidth="1"/>
    <col min="14" max="14" width="13.42578125" style="1" customWidth="1"/>
    <col min="15" max="16" width="9.140625" style="222" customWidth="1"/>
    <col min="17" max="17" width="8.85546875" style="222" customWidth="1"/>
    <col min="18" max="21" width="8.85546875" style="222"/>
    <col min="22" max="22" width="8" style="224" customWidth="1"/>
    <col min="23" max="23" width="8.85546875" style="225"/>
    <col min="24" max="24" width="8.85546875" style="226"/>
    <col min="25" max="27" width="8.85546875" style="225"/>
    <col min="28" max="28" width="8.85546875" style="225" customWidth="1"/>
    <col min="29" max="16384" width="8.85546875" style="1"/>
  </cols>
  <sheetData>
    <row r="1" spans="1:31" x14ac:dyDescent="0.25">
      <c r="A1" s="76"/>
      <c r="B1" s="80"/>
      <c r="C1" s="76"/>
      <c r="D1" s="76"/>
      <c r="E1" s="76"/>
      <c r="F1" s="76"/>
      <c r="G1" s="76"/>
      <c r="H1" s="76"/>
      <c r="I1" s="76"/>
      <c r="J1" s="79"/>
      <c r="K1" s="80" t="s">
        <v>553</v>
      </c>
      <c r="L1" s="79"/>
      <c r="M1" s="82">
        <f ca="1">TODAY()</f>
        <v>45109</v>
      </c>
      <c r="N1" s="2"/>
    </row>
    <row r="2" spans="1:31" ht="20.25" customHeight="1" x14ac:dyDescent="0.3">
      <c r="A2" s="76"/>
      <c r="B2" s="76"/>
      <c r="C2" s="76"/>
      <c r="D2" s="81" t="s">
        <v>666</v>
      </c>
      <c r="E2" s="76"/>
      <c r="F2" s="77"/>
      <c r="G2" s="77"/>
      <c r="H2" s="77"/>
      <c r="I2" s="77"/>
      <c r="J2" s="83"/>
      <c r="K2" s="83"/>
      <c r="L2" s="79"/>
      <c r="M2" s="84" t="str">
        <f>Calculator!E3</f>
        <v>Your Address/Location</v>
      </c>
      <c r="N2" s="2"/>
    </row>
    <row r="3" spans="1:31" x14ac:dyDescent="0.25">
      <c r="A3" s="76"/>
      <c r="B3" s="76"/>
      <c r="C3" s="76"/>
      <c r="D3" s="80" t="str">
        <f>Calculator!D3&amp; " C01-02"</f>
        <v>Name C01-02</v>
      </c>
      <c r="E3" s="137"/>
      <c r="F3" s="86" t="str">
        <f>Calculator!J1</f>
        <v>Rev Orig</v>
      </c>
      <c r="G3" s="76"/>
      <c r="H3" s="76"/>
      <c r="I3" s="76"/>
      <c r="J3" s="79"/>
      <c r="K3" s="79" t="s">
        <v>552</v>
      </c>
      <c r="L3" s="83" t="str">
        <f>Calculator!D3</f>
        <v>Name</v>
      </c>
      <c r="M3" s="85" t="s">
        <v>431</v>
      </c>
      <c r="N3" s="2"/>
    </row>
    <row r="4" spans="1:31" x14ac:dyDescent="0.25">
      <c r="A4" s="78"/>
      <c r="B4" s="80"/>
      <c r="C4" s="78"/>
      <c r="D4" s="78"/>
      <c r="E4" s="78"/>
      <c r="F4" s="78"/>
      <c r="G4" s="78"/>
      <c r="H4" s="78"/>
      <c r="I4" s="78"/>
      <c r="J4" s="86"/>
      <c r="K4" s="86" t="s">
        <v>669</v>
      </c>
      <c r="L4" s="86"/>
      <c r="M4" s="86"/>
      <c r="N4" s="2"/>
    </row>
    <row r="5" spans="1:31" x14ac:dyDescent="0.25">
      <c r="A5"/>
      <c r="B5" s="87" t="s">
        <v>177</v>
      </c>
      <c r="C5" s="40"/>
      <c r="D5"/>
      <c r="E5"/>
      <c r="F5" s="99"/>
      <c r="G5"/>
      <c r="H5"/>
      <c r="I5"/>
      <c r="J5"/>
      <c r="K5"/>
      <c r="L5" s="88" t="s">
        <v>549</v>
      </c>
      <c r="M5" s="100">
        <v>0.95</v>
      </c>
      <c r="N5" s="2"/>
    </row>
    <row r="6" spans="1:31" x14ac:dyDescent="0.25">
      <c r="A6"/>
      <c r="B6"/>
      <c r="C6" s="18"/>
      <c r="D6"/>
      <c r="E6"/>
      <c r="F6" s="26"/>
      <c r="G6"/>
      <c r="H6"/>
      <c r="I6"/>
      <c r="J6"/>
      <c r="K6" s="16"/>
      <c r="L6" s="88" t="s">
        <v>653</v>
      </c>
      <c r="M6" s="100">
        <v>0.96</v>
      </c>
      <c r="N6" s="2"/>
    </row>
    <row r="7" spans="1:31" s="232" customFormat="1" ht="30" customHeight="1" x14ac:dyDescent="0.25">
      <c r="A7" s="20"/>
      <c r="B7" s="19" t="s">
        <v>483</v>
      </c>
      <c r="C7" s="91" t="s">
        <v>489</v>
      </c>
      <c r="D7" s="92" t="s">
        <v>573</v>
      </c>
      <c r="E7" s="94" t="s">
        <v>686</v>
      </c>
      <c r="F7" s="94" t="s">
        <v>701</v>
      </c>
      <c r="G7" s="92" t="s">
        <v>534</v>
      </c>
      <c r="H7" s="92" t="s">
        <v>487</v>
      </c>
      <c r="I7" s="92" t="s">
        <v>488</v>
      </c>
      <c r="J7" s="93" t="s">
        <v>652</v>
      </c>
      <c r="K7" s="92" t="s">
        <v>639</v>
      </c>
      <c r="L7" s="94" t="s">
        <v>486</v>
      </c>
      <c r="M7" s="101" t="s">
        <v>654</v>
      </c>
      <c r="N7" s="130"/>
      <c r="O7" s="405" t="s">
        <v>628</v>
      </c>
      <c r="P7" s="405"/>
      <c r="Q7" s="405"/>
      <c r="R7" s="405"/>
      <c r="S7" s="405"/>
      <c r="T7" s="405"/>
      <c r="U7" s="230" t="s">
        <v>629</v>
      </c>
      <c r="V7" s="231"/>
      <c r="W7" s="225"/>
      <c r="X7" s="226"/>
      <c r="Y7" s="225"/>
      <c r="Z7" s="225"/>
      <c r="AA7" s="225"/>
      <c r="AB7" s="225"/>
      <c r="AC7" s="1"/>
      <c r="AD7" s="1"/>
      <c r="AE7" s="1"/>
    </row>
    <row r="8" spans="1:31" s="232" customFormat="1" ht="15" customHeight="1" thickBot="1" x14ac:dyDescent="0.3">
      <c r="A8" s="20"/>
      <c r="B8" s="19"/>
      <c r="C8" s="92" t="s">
        <v>484</v>
      </c>
      <c r="D8" s="92" t="s">
        <v>485</v>
      </c>
      <c r="E8" s="92" t="s">
        <v>485</v>
      </c>
      <c r="F8" s="92" t="s">
        <v>485</v>
      </c>
      <c r="G8" s="92" t="s">
        <v>485</v>
      </c>
      <c r="H8" s="92" t="s">
        <v>485</v>
      </c>
      <c r="I8" s="92" t="s">
        <v>485</v>
      </c>
      <c r="J8" s="92" t="s">
        <v>485</v>
      </c>
      <c r="K8" s="92" t="s">
        <v>485</v>
      </c>
      <c r="L8" s="94" t="s">
        <v>485</v>
      </c>
      <c r="M8" s="103">
        <f>M6*(M5+N8)</f>
        <v>0.95033469387755098</v>
      </c>
      <c r="N8" s="131">
        <f>(1-M5)*M17</f>
        <v>3.9931972789115672E-2</v>
      </c>
      <c r="O8" s="233" t="s">
        <v>665</v>
      </c>
      <c r="P8" s="234" t="s">
        <v>624</v>
      </c>
      <c r="Q8" s="235" t="s">
        <v>625</v>
      </c>
      <c r="R8" s="235" t="s">
        <v>626</v>
      </c>
      <c r="S8" s="233" t="s">
        <v>627</v>
      </c>
      <c r="T8" s="234" t="s">
        <v>627</v>
      </c>
      <c r="U8" s="236"/>
      <c r="V8" s="231"/>
      <c r="W8" s="225"/>
      <c r="X8" s="226"/>
      <c r="Y8" s="225"/>
      <c r="Z8" s="225"/>
      <c r="AA8" s="225"/>
      <c r="AB8" s="225"/>
      <c r="AC8" s="1"/>
      <c r="AD8" s="1"/>
      <c r="AE8" s="1"/>
    </row>
    <row r="9" spans="1:31" ht="15" customHeight="1" thickBot="1" x14ac:dyDescent="0.3">
      <c r="A9" s="406" t="s">
        <v>244</v>
      </c>
      <c r="B9" s="66" t="s">
        <v>486</v>
      </c>
      <c r="C9" s="58">
        <f t="shared" ref="C9:K9" si="0">SUM(C10:C33)</f>
        <v>1</v>
      </c>
      <c r="D9" s="25">
        <f t="shared" si="0"/>
        <v>1.680000000000001</v>
      </c>
      <c r="E9" s="142">
        <f t="shared" ref="E9" si="1">SUM(E10:E33)</f>
        <v>5</v>
      </c>
      <c r="F9" s="25">
        <f>SUM(F10:F33)</f>
        <v>4</v>
      </c>
      <c r="G9" s="25">
        <f t="shared" si="0"/>
        <v>0.52</v>
      </c>
      <c r="H9" s="25">
        <f t="shared" si="0"/>
        <v>0.8</v>
      </c>
      <c r="I9" s="25">
        <f t="shared" si="0"/>
        <v>0.34</v>
      </c>
      <c r="J9" s="60">
        <f>SUM(J10:J33)</f>
        <v>1.4000000000000001</v>
      </c>
      <c r="K9" s="25">
        <f t="shared" si="0"/>
        <v>0.9600000000000003</v>
      </c>
      <c r="L9" s="61">
        <f t="shared" ref="L9:L33" si="2">SUM(D9:K9)</f>
        <v>14.700000000000003</v>
      </c>
      <c r="M9" s="48">
        <f>ROUND(L9/M8, 1)</f>
        <v>15.5</v>
      </c>
      <c r="N9" s="2"/>
      <c r="O9" s="235" t="s">
        <v>31</v>
      </c>
      <c r="P9" s="237" t="s">
        <v>31</v>
      </c>
      <c r="Q9" s="235" t="s">
        <v>31</v>
      </c>
      <c r="R9" s="235" t="s">
        <v>31</v>
      </c>
      <c r="S9" s="235" t="s">
        <v>31</v>
      </c>
      <c r="T9" s="237" t="s">
        <v>31</v>
      </c>
      <c r="U9" s="238"/>
      <c r="V9" s="231"/>
    </row>
    <row r="10" spans="1:31" s="144" customFormat="1" x14ac:dyDescent="0.25">
      <c r="A10" s="406"/>
      <c r="B10" s="67" t="s">
        <v>505</v>
      </c>
      <c r="C10" s="59">
        <v>0.01</v>
      </c>
      <c r="D10" s="38">
        <v>7.0000000000000007E-2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9">
        <v>0.04</v>
      </c>
      <c r="L10" s="62">
        <f t="shared" si="2"/>
        <v>0.11000000000000001</v>
      </c>
      <c r="M10" s="140" t="s">
        <v>667</v>
      </c>
      <c r="N10" s="132"/>
      <c r="O10" s="239">
        <f>L10</f>
        <v>0.11000000000000001</v>
      </c>
      <c r="P10" s="174">
        <f t="shared" ref="P10:P34" si="3">$C$64</f>
        <v>4</v>
      </c>
      <c r="Q10" s="240">
        <f t="shared" ref="Q10:Q34" si="4">$C$65</f>
        <v>5.2</v>
      </c>
      <c r="R10" s="240">
        <f t="shared" ref="R10:R34" si="5">$C$66</f>
        <v>6</v>
      </c>
      <c r="S10" s="240">
        <f t="shared" ref="S10:T34" si="6">$C$67</f>
        <v>9</v>
      </c>
      <c r="T10" s="174">
        <f t="shared" si="6"/>
        <v>9</v>
      </c>
      <c r="U10" s="174">
        <f t="shared" ref="U10:U17" si="7">O10*1.6</f>
        <v>0.17600000000000005</v>
      </c>
      <c r="V10" s="241" t="str">
        <f t="shared" ref="V10:V33" si="8">B10</f>
        <v>12am</v>
      </c>
      <c r="W10" s="225"/>
      <c r="X10" s="226"/>
      <c r="Y10" s="225"/>
      <c r="Z10" s="225"/>
      <c r="AA10" s="225"/>
      <c r="AB10" s="225"/>
      <c r="AC10" s="1"/>
      <c r="AD10" s="1"/>
      <c r="AE10" s="1"/>
    </row>
    <row r="11" spans="1:31" s="144" customFormat="1" x14ac:dyDescent="0.25">
      <c r="A11" s="406"/>
      <c r="B11" s="67" t="s">
        <v>506</v>
      </c>
      <c r="C11" s="59">
        <v>0.01</v>
      </c>
      <c r="D11" s="38">
        <v>7.0000000000000007E-2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9">
        <v>0.04</v>
      </c>
      <c r="L11" s="62">
        <f t="shared" si="2"/>
        <v>0.11000000000000001</v>
      </c>
      <c r="M11" s="49">
        <f>M9-F9+F9*M13</f>
        <v>15.5</v>
      </c>
      <c r="N11" s="45"/>
      <c r="O11" s="239">
        <f t="shared" ref="O11:O33" si="9">L11</f>
        <v>0.11000000000000001</v>
      </c>
      <c r="P11" s="174">
        <f t="shared" si="3"/>
        <v>4</v>
      </c>
      <c r="Q11" s="240">
        <f t="shared" si="4"/>
        <v>5.2</v>
      </c>
      <c r="R11" s="240">
        <f t="shared" si="5"/>
        <v>6</v>
      </c>
      <c r="S11" s="240">
        <f t="shared" si="6"/>
        <v>9</v>
      </c>
      <c r="T11" s="174">
        <f t="shared" si="6"/>
        <v>9</v>
      </c>
      <c r="U11" s="174">
        <f t="shared" si="7"/>
        <v>0.17600000000000005</v>
      </c>
      <c r="V11" s="241" t="str">
        <f t="shared" si="8"/>
        <v>1am</v>
      </c>
      <c r="W11" s="225"/>
      <c r="X11" s="226"/>
      <c r="Y11" s="225"/>
      <c r="Z11" s="225"/>
      <c r="AA11" s="225"/>
      <c r="AB11" s="225"/>
      <c r="AC11" s="1"/>
      <c r="AD11" s="1"/>
      <c r="AE11" s="1"/>
    </row>
    <row r="12" spans="1:31" s="144" customFormat="1" x14ac:dyDescent="0.25">
      <c r="A12" s="406"/>
      <c r="B12" s="67" t="s">
        <v>507</v>
      </c>
      <c r="C12" s="59">
        <v>0.01</v>
      </c>
      <c r="D12" s="38">
        <v>7.0000000000000007E-2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9">
        <v>0.04</v>
      </c>
      <c r="L12" s="62">
        <f t="shared" si="2"/>
        <v>0.11000000000000001</v>
      </c>
      <c r="M12" s="140" t="s">
        <v>668</v>
      </c>
      <c r="N12" s="133"/>
      <c r="O12" s="239">
        <f t="shared" si="9"/>
        <v>0.11000000000000001</v>
      </c>
      <c r="P12" s="174">
        <f t="shared" si="3"/>
        <v>4</v>
      </c>
      <c r="Q12" s="240">
        <f t="shared" si="4"/>
        <v>5.2</v>
      </c>
      <c r="R12" s="240">
        <f t="shared" si="5"/>
        <v>6</v>
      </c>
      <c r="S12" s="240">
        <f t="shared" si="6"/>
        <v>9</v>
      </c>
      <c r="T12" s="174">
        <f t="shared" si="6"/>
        <v>9</v>
      </c>
      <c r="U12" s="174">
        <f t="shared" si="7"/>
        <v>0.17600000000000005</v>
      </c>
      <c r="V12" s="241" t="str">
        <f t="shared" si="8"/>
        <v>2am</v>
      </c>
      <c r="W12" s="225"/>
      <c r="X12" s="226"/>
      <c r="Y12" s="225"/>
      <c r="Z12" s="225"/>
      <c r="AA12" s="225"/>
      <c r="AB12" s="225"/>
      <c r="AC12" s="1"/>
      <c r="AD12" s="1"/>
      <c r="AE12" s="1"/>
    </row>
    <row r="13" spans="1:31" s="144" customFormat="1" x14ac:dyDescent="0.25">
      <c r="A13" s="406"/>
      <c r="B13" s="67" t="s">
        <v>508</v>
      </c>
      <c r="C13" s="59">
        <v>0.01</v>
      </c>
      <c r="D13" s="38">
        <v>7.0000000000000007E-2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9">
        <v>0.04</v>
      </c>
      <c r="L13" s="62">
        <f t="shared" si="2"/>
        <v>0.11000000000000001</v>
      </c>
      <c r="M13" s="73">
        <v>1</v>
      </c>
      <c r="N13" s="132"/>
      <c r="O13" s="239">
        <f t="shared" si="9"/>
        <v>0.11000000000000001</v>
      </c>
      <c r="P13" s="174">
        <f t="shared" si="3"/>
        <v>4</v>
      </c>
      <c r="Q13" s="240">
        <f t="shared" si="4"/>
        <v>5.2</v>
      </c>
      <c r="R13" s="240">
        <f t="shared" si="5"/>
        <v>6</v>
      </c>
      <c r="S13" s="240">
        <f t="shared" si="6"/>
        <v>9</v>
      </c>
      <c r="T13" s="174">
        <f t="shared" si="6"/>
        <v>9</v>
      </c>
      <c r="U13" s="174">
        <f t="shared" si="7"/>
        <v>0.17600000000000005</v>
      </c>
      <c r="V13" s="241" t="str">
        <f t="shared" si="8"/>
        <v>3am</v>
      </c>
      <c r="W13" s="225"/>
      <c r="X13" s="226"/>
      <c r="Y13" s="225"/>
      <c r="Z13" s="225"/>
      <c r="AA13" s="225"/>
      <c r="AB13" s="225"/>
      <c r="AC13" s="1"/>
      <c r="AD13" s="1"/>
      <c r="AE13" s="1"/>
    </row>
    <row r="14" spans="1:31" s="144" customFormat="1" x14ac:dyDescent="0.25">
      <c r="A14" s="406"/>
      <c r="B14" s="67" t="s">
        <v>509</v>
      </c>
      <c r="C14" s="59">
        <v>0.01</v>
      </c>
      <c r="D14" s="38">
        <v>7.0000000000000007E-2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9">
        <v>0.04</v>
      </c>
      <c r="L14" s="62">
        <f t="shared" si="2"/>
        <v>0.11000000000000001</v>
      </c>
      <c r="M14" s="141" t="s">
        <v>672</v>
      </c>
      <c r="N14" s="132"/>
      <c r="O14" s="239">
        <f t="shared" si="9"/>
        <v>0.11000000000000001</v>
      </c>
      <c r="P14" s="174">
        <f t="shared" si="3"/>
        <v>4</v>
      </c>
      <c r="Q14" s="240">
        <f t="shared" si="4"/>
        <v>5.2</v>
      </c>
      <c r="R14" s="240">
        <f t="shared" si="5"/>
        <v>6</v>
      </c>
      <c r="S14" s="240">
        <f t="shared" si="6"/>
        <v>9</v>
      </c>
      <c r="T14" s="174">
        <f t="shared" si="6"/>
        <v>9</v>
      </c>
      <c r="U14" s="174">
        <f t="shared" si="7"/>
        <v>0.17600000000000005</v>
      </c>
      <c r="V14" s="241" t="str">
        <f t="shared" si="8"/>
        <v>4am</v>
      </c>
    </row>
    <row r="15" spans="1:31" s="144" customFormat="1" x14ac:dyDescent="0.25">
      <c r="A15" s="406"/>
      <c r="B15" s="67" t="s">
        <v>510</v>
      </c>
      <c r="C15" s="59">
        <v>0.01</v>
      </c>
      <c r="D15" s="38">
        <v>7.0000000000000007E-2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9">
        <v>0.04</v>
      </c>
      <c r="L15" s="62">
        <f t="shared" si="2"/>
        <v>0.11000000000000001</v>
      </c>
      <c r="M15" s="98" t="s">
        <v>655</v>
      </c>
      <c r="N15" s="134"/>
      <c r="O15" s="239">
        <f t="shared" si="9"/>
        <v>0.11000000000000001</v>
      </c>
      <c r="P15" s="174">
        <f t="shared" si="3"/>
        <v>4</v>
      </c>
      <c r="Q15" s="240">
        <f t="shared" si="4"/>
        <v>5.2</v>
      </c>
      <c r="R15" s="240">
        <f t="shared" si="5"/>
        <v>6</v>
      </c>
      <c r="S15" s="240">
        <f t="shared" si="6"/>
        <v>9</v>
      </c>
      <c r="T15" s="174">
        <f t="shared" si="6"/>
        <v>9</v>
      </c>
      <c r="U15" s="174">
        <f t="shared" si="7"/>
        <v>0.17600000000000005</v>
      </c>
      <c r="V15" s="241" t="str">
        <f t="shared" si="8"/>
        <v xml:space="preserve">5am </v>
      </c>
      <c r="W15" s="242" t="s">
        <v>687</v>
      </c>
      <c r="X15" s="243">
        <f>Calculator!F7</f>
        <v>0</v>
      </c>
    </row>
    <row r="16" spans="1:31" s="144" customFormat="1" ht="15.75" customHeight="1" x14ac:dyDescent="0.25">
      <c r="A16" s="408" t="s">
        <v>547</v>
      </c>
      <c r="B16" s="63" t="s">
        <v>511</v>
      </c>
      <c r="C16" s="64">
        <v>0.1</v>
      </c>
      <c r="D16" s="36">
        <v>7.0000000000000007E-2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7">
        <v>0.04</v>
      </c>
      <c r="L16" s="65">
        <f t="shared" si="2"/>
        <v>0.11000000000000001</v>
      </c>
      <c r="M16" s="50">
        <f>SUM(L16:L27)/M8</f>
        <v>12.353542468389225</v>
      </c>
      <c r="N16" s="132"/>
      <c r="O16" s="239">
        <f t="shared" si="9"/>
        <v>0.11000000000000001</v>
      </c>
      <c r="P16" s="174">
        <f t="shared" si="3"/>
        <v>4</v>
      </c>
      <c r="Q16" s="240">
        <f t="shared" si="4"/>
        <v>5.2</v>
      </c>
      <c r="R16" s="240">
        <f t="shared" si="5"/>
        <v>6</v>
      </c>
      <c r="S16" s="240">
        <f t="shared" si="6"/>
        <v>9</v>
      </c>
      <c r="T16" s="174">
        <f t="shared" si="6"/>
        <v>9</v>
      </c>
      <c r="U16" s="174">
        <f t="shared" si="7"/>
        <v>0.17600000000000005</v>
      </c>
      <c r="V16" s="241" t="str">
        <f t="shared" si="8"/>
        <v>6am</v>
      </c>
      <c r="W16" s="242" t="s">
        <v>688</v>
      </c>
      <c r="X16" s="244">
        <v>0.65</v>
      </c>
    </row>
    <row r="17" spans="1:30" s="144" customFormat="1" ht="15" customHeight="1" x14ac:dyDescent="0.25">
      <c r="A17" s="408"/>
      <c r="B17" s="63" t="s">
        <v>512</v>
      </c>
      <c r="C17" s="64">
        <v>0.1</v>
      </c>
      <c r="D17" s="36">
        <v>7.0000000000000007E-2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0.1</v>
      </c>
      <c r="K17" s="37">
        <v>0.04</v>
      </c>
      <c r="L17" s="65">
        <f t="shared" si="2"/>
        <v>0.21000000000000002</v>
      </c>
      <c r="M17" s="90">
        <f>SUM(L16:L27)/L9</f>
        <v>0.79863945578231277</v>
      </c>
      <c r="N17" s="132"/>
      <c r="O17" s="239">
        <f t="shared" si="9"/>
        <v>0.21000000000000002</v>
      </c>
      <c r="P17" s="174">
        <f t="shared" si="3"/>
        <v>4</v>
      </c>
      <c r="Q17" s="240">
        <f t="shared" si="4"/>
        <v>5.2</v>
      </c>
      <c r="R17" s="240">
        <f t="shared" si="5"/>
        <v>6</v>
      </c>
      <c r="S17" s="240">
        <f t="shared" si="6"/>
        <v>9</v>
      </c>
      <c r="T17" s="174">
        <f t="shared" si="6"/>
        <v>9</v>
      </c>
      <c r="U17" s="174">
        <f t="shared" si="7"/>
        <v>0.33600000000000008</v>
      </c>
      <c r="V17" s="241" t="str">
        <f t="shared" si="8"/>
        <v>7am</v>
      </c>
      <c r="W17" s="173"/>
      <c r="X17" s="245"/>
    </row>
    <row r="18" spans="1:30" s="144" customFormat="1" ht="15" customHeight="1" x14ac:dyDescent="0.25">
      <c r="A18" s="408"/>
      <c r="B18" s="63" t="s">
        <v>513</v>
      </c>
      <c r="C18" s="64">
        <v>0.03</v>
      </c>
      <c r="D18" s="36">
        <v>7.0000000000000007E-2</v>
      </c>
      <c r="E18" s="36">
        <v>1</v>
      </c>
      <c r="F18" s="36">
        <v>0</v>
      </c>
      <c r="G18" s="36">
        <v>0</v>
      </c>
      <c r="H18" s="36">
        <v>0.1</v>
      </c>
      <c r="I18" s="36">
        <v>0</v>
      </c>
      <c r="J18" s="36">
        <v>0.1</v>
      </c>
      <c r="K18" s="37">
        <v>0.04</v>
      </c>
      <c r="L18" s="65">
        <f t="shared" si="2"/>
        <v>1.3100000000000003</v>
      </c>
      <c r="M18" s="21"/>
      <c r="N18" s="132"/>
      <c r="O18" s="239">
        <f t="shared" si="9"/>
        <v>1.3100000000000003</v>
      </c>
      <c r="P18" s="174">
        <f>ROUND(AVERAGE(P17, P19),1)</f>
        <v>4</v>
      </c>
      <c r="Q18" s="240">
        <f t="shared" si="4"/>
        <v>5.2</v>
      </c>
      <c r="R18" s="240">
        <f t="shared" si="5"/>
        <v>6</v>
      </c>
      <c r="S18" s="240">
        <f t="shared" si="6"/>
        <v>9</v>
      </c>
      <c r="T18" s="174">
        <f t="shared" si="6"/>
        <v>9</v>
      </c>
      <c r="U18" s="174">
        <f t="shared" ref="U18:U24" si="10">O18*1.6</f>
        <v>2.0960000000000005</v>
      </c>
      <c r="V18" s="241" t="str">
        <f t="shared" si="8"/>
        <v>8am</v>
      </c>
      <c r="W18" s="173"/>
      <c r="X18" s="245"/>
    </row>
    <row r="19" spans="1:30" s="144" customFormat="1" ht="15" customHeight="1" x14ac:dyDescent="0.25">
      <c r="A19" s="408"/>
      <c r="B19" s="63" t="s">
        <v>514</v>
      </c>
      <c r="C19" s="64">
        <v>0.01</v>
      </c>
      <c r="D19" s="36">
        <v>7.0000000000000007E-2</v>
      </c>
      <c r="E19" s="36">
        <v>1</v>
      </c>
      <c r="F19" s="36">
        <v>0.5</v>
      </c>
      <c r="G19" s="36">
        <v>0</v>
      </c>
      <c r="H19" s="36">
        <v>0</v>
      </c>
      <c r="I19" s="36">
        <v>0</v>
      </c>
      <c r="J19" s="36">
        <v>0.1</v>
      </c>
      <c r="K19" s="37">
        <v>0.04</v>
      </c>
      <c r="L19" s="65">
        <f t="shared" si="2"/>
        <v>1.7100000000000002</v>
      </c>
      <c r="M19" s="21"/>
      <c r="N19" s="132"/>
      <c r="O19" s="239">
        <f t="shared" si="9"/>
        <v>1.7100000000000002</v>
      </c>
      <c r="P19" s="174">
        <f t="shared" ref="P19:P25" si="11">ROUND($C$64+X$15*X$16,1)</f>
        <v>4</v>
      </c>
      <c r="Q19" s="240">
        <f t="shared" si="4"/>
        <v>5.2</v>
      </c>
      <c r="R19" s="240">
        <f t="shared" si="5"/>
        <v>6</v>
      </c>
      <c r="S19" s="240">
        <f t="shared" si="6"/>
        <v>9</v>
      </c>
      <c r="T19" s="174">
        <f t="shared" si="6"/>
        <v>9</v>
      </c>
      <c r="U19" s="174">
        <f t="shared" si="10"/>
        <v>2.7360000000000007</v>
      </c>
      <c r="V19" s="241" t="str">
        <f t="shared" si="8"/>
        <v>9am</v>
      </c>
      <c r="W19" s="173"/>
    </row>
    <row r="20" spans="1:30" s="144" customFormat="1" ht="15" customHeight="1" x14ac:dyDescent="0.25">
      <c r="A20" s="408"/>
      <c r="B20" s="63" t="s">
        <v>515</v>
      </c>
      <c r="C20" s="64">
        <v>0.01</v>
      </c>
      <c r="D20" s="36">
        <v>7.0000000000000007E-2</v>
      </c>
      <c r="E20" s="36">
        <v>1</v>
      </c>
      <c r="F20" s="36">
        <v>0.5</v>
      </c>
      <c r="G20" s="36">
        <v>0</v>
      </c>
      <c r="H20" s="36">
        <v>0</v>
      </c>
      <c r="I20" s="36">
        <v>0</v>
      </c>
      <c r="J20" s="36">
        <v>0.2</v>
      </c>
      <c r="K20" s="37">
        <v>0.04</v>
      </c>
      <c r="L20" s="65">
        <f t="shared" si="2"/>
        <v>1.81</v>
      </c>
      <c r="M20" s="21"/>
      <c r="N20" s="132"/>
      <c r="O20" s="239">
        <f t="shared" si="9"/>
        <v>1.81</v>
      </c>
      <c r="P20" s="174">
        <f t="shared" si="11"/>
        <v>4</v>
      </c>
      <c r="Q20" s="240">
        <f t="shared" si="4"/>
        <v>5.2</v>
      </c>
      <c r="R20" s="240">
        <f t="shared" si="5"/>
        <v>6</v>
      </c>
      <c r="S20" s="240">
        <f t="shared" si="6"/>
        <v>9</v>
      </c>
      <c r="T20" s="174">
        <f t="shared" si="6"/>
        <v>9</v>
      </c>
      <c r="U20" s="174">
        <f t="shared" si="10"/>
        <v>2.8960000000000004</v>
      </c>
      <c r="V20" s="241" t="str">
        <f t="shared" si="8"/>
        <v>10am</v>
      </c>
      <c r="W20" s="173"/>
    </row>
    <row r="21" spans="1:30" s="144" customFormat="1" ht="15" customHeight="1" x14ac:dyDescent="0.25">
      <c r="A21" s="408"/>
      <c r="B21" s="63" t="s">
        <v>516</v>
      </c>
      <c r="C21" s="64">
        <v>0.08</v>
      </c>
      <c r="D21" s="36">
        <v>7.0000000000000007E-2</v>
      </c>
      <c r="E21" s="36">
        <v>1</v>
      </c>
      <c r="F21" s="36">
        <v>0.5</v>
      </c>
      <c r="G21" s="36">
        <v>0</v>
      </c>
      <c r="H21" s="36">
        <v>0</v>
      </c>
      <c r="I21" s="36">
        <v>0</v>
      </c>
      <c r="J21" s="36">
        <v>0</v>
      </c>
      <c r="K21" s="37">
        <v>0.04</v>
      </c>
      <c r="L21" s="65">
        <f t="shared" si="2"/>
        <v>1.61</v>
      </c>
      <c r="M21" s="21"/>
      <c r="N21" s="132"/>
      <c r="O21" s="239">
        <f t="shared" si="9"/>
        <v>1.61</v>
      </c>
      <c r="P21" s="174">
        <f t="shared" si="11"/>
        <v>4</v>
      </c>
      <c r="Q21" s="240">
        <f t="shared" si="4"/>
        <v>5.2</v>
      </c>
      <c r="R21" s="240">
        <f t="shared" si="5"/>
        <v>6</v>
      </c>
      <c r="S21" s="240">
        <f t="shared" si="6"/>
        <v>9</v>
      </c>
      <c r="T21" s="174">
        <f t="shared" si="6"/>
        <v>9</v>
      </c>
      <c r="U21" s="174">
        <f t="shared" si="10"/>
        <v>2.5760000000000005</v>
      </c>
      <c r="V21" s="241" t="str">
        <f t="shared" si="8"/>
        <v>11am</v>
      </c>
      <c r="W21" s="173"/>
    </row>
    <row r="22" spans="1:30" s="144" customFormat="1" ht="15" customHeight="1" x14ac:dyDescent="0.25">
      <c r="A22" s="408"/>
      <c r="B22" s="63" t="s">
        <v>517</v>
      </c>
      <c r="C22" s="64">
        <v>0.08</v>
      </c>
      <c r="D22" s="36">
        <v>7.0000000000000007E-2</v>
      </c>
      <c r="E22" s="36">
        <v>1</v>
      </c>
      <c r="F22" s="36">
        <v>0.5</v>
      </c>
      <c r="G22" s="36">
        <v>0</v>
      </c>
      <c r="H22" s="36">
        <v>0.15</v>
      </c>
      <c r="I22" s="36">
        <v>0</v>
      </c>
      <c r="J22" s="36">
        <v>0</v>
      </c>
      <c r="K22" s="37">
        <v>0.04</v>
      </c>
      <c r="L22" s="65">
        <f t="shared" si="2"/>
        <v>1.76</v>
      </c>
      <c r="M22" s="21"/>
      <c r="N22" s="132"/>
      <c r="O22" s="239">
        <f t="shared" si="9"/>
        <v>1.76</v>
      </c>
      <c r="P22" s="174">
        <f t="shared" si="11"/>
        <v>4</v>
      </c>
      <c r="Q22" s="240">
        <f t="shared" si="4"/>
        <v>5.2</v>
      </c>
      <c r="R22" s="240">
        <f t="shared" si="5"/>
        <v>6</v>
      </c>
      <c r="S22" s="240">
        <f t="shared" si="6"/>
        <v>9</v>
      </c>
      <c r="T22" s="174">
        <f t="shared" si="6"/>
        <v>9</v>
      </c>
      <c r="U22" s="174">
        <f t="shared" si="10"/>
        <v>2.8160000000000003</v>
      </c>
      <c r="V22" s="241" t="str">
        <f t="shared" si="8"/>
        <v>12pm</v>
      </c>
      <c r="W22" s="173"/>
    </row>
    <row r="23" spans="1:30" s="144" customFormat="1" ht="15" customHeight="1" x14ac:dyDescent="0.25">
      <c r="A23" s="408"/>
      <c r="B23" s="63" t="s">
        <v>518</v>
      </c>
      <c r="C23" s="64">
        <v>0.01</v>
      </c>
      <c r="D23" s="36">
        <v>7.0000000000000007E-2</v>
      </c>
      <c r="E23" s="36">
        <v>0</v>
      </c>
      <c r="F23" s="36">
        <v>0.5</v>
      </c>
      <c r="G23" s="36">
        <v>0</v>
      </c>
      <c r="H23" s="36">
        <v>0</v>
      </c>
      <c r="I23" s="36">
        <v>0</v>
      </c>
      <c r="J23" s="36">
        <v>0.05</v>
      </c>
      <c r="K23" s="37">
        <v>0.04</v>
      </c>
      <c r="L23" s="65">
        <f t="shared" si="2"/>
        <v>0.66000000000000014</v>
      </c>
      <c r="M23" s="21"/>
      <c r="N23" s="132"/>
      <c r="O23" s="239">
        <f t="shared" si="9"/>
        <v>0.66000000000000014</v>
      </c>
      <c r="P23" s="174">
        <f t="shared" si="11"/>
        <v>4</v>
      </c>
      <c r="Q23" s="240">
        <f t="shared" si="4"/>
        <v>5.2</v>
      </c>
      <c r="R23" s="240">
        <f t="shared" si="5"/>
        <v>6</v>
      </c>
      <c r="S23" s="240">
        <f t="shared" si="6"/>
        <v>9</v>
      </c>
      <c r="T23" s="174">
        <f t="shared" si="6"/>
        <v>9</v>
      </c>
      <c r="U23" s="174">
        <f t="shared" si="10"/>
        <v>1.0560000000000003</v>
      </c>
      <c r="V23" s="241" t="str">
        <f t="shared" si="8"/>
        <v>1pm</v>
      </c>
      <c r="W23" s="173"/>
      <c r="Z23" s="246"/>
      <c r="AA23" s="246"/>
      <c r="AB23" s="247"/>
      <c r="AC23" s="246"/>
      <c r="AD23" s="246"/>
    </row>
    <row r="24" spans="1:30" s="144" customFormat="1" ht="15" customHeight="1" x14ac:dyDescent="0.25">
      <c r="A24" s="408"/>
      <c r="B24" s="63" t="s">
        <v>519</v>
      </c>
      <c r="C24" s="64">
        <v>0.01</v>
      </c>
      <c r="D24" s="36">
        <v>7.0000000000000007E-2</v>
      </c>
      <c r="E24" s="36">
        <v>0</v>
      </c>
      <c r="F24" s="36">
        <v>0.5</v>
      </c>
      <c r="G24" s="36">
        <v>0</v>
      </c>
      <c r="H24" s="36">
        <v>0</v>
      </c>
      <c r="I24" s="36">
        <v>0</v>
      </c>
      <c r="J24" s="36">
        <v>0.25</v>
      </c>
      <c r="K24" s="37">
        <v>0.04</v>
      </c>
      <c r="L24" s="65">
        <f t="shared" si="2"/>
        <v>0.8600000000000001</v>
      </c>
      <c r="M24" s="21"/>
      <c r="N24" s="132"/>
      <c r="O24" s="239">
        <f t="shared" si="9"/>
        <v>0.8600000000000001</v>
      </c>
      <c r="P24" s="174">
        <f t="shared" si="11"/>
        <v>4</v>
      </c>
      <c r="Q24" s="240">
        <f t="shared" si="4"/>
        <v>5.2</v>
      </c>
      <c r="R24" s="240">
        <f t="shared" si="5"/>
        <v>6</v>
      </c>
      <c r="S24" s="240">
        <f t="shared" si="6"/>
        <v>9</v>
      </c>
      <c r="T24" s="174">
        <f t="shared" si="6"/>
        <v>9</v>
      </c>
      <c r="U24" s="174">
        <f t="shared" si="10"/>
        <v>1.3760000000000003</v>
      </c>
      <c r="V24" s="241" t="str">
        <f t="shared" si="8"/>
        <v>2pm</v>
      </c>
      <c r="W24" s="173"/>
      <c r="Z24" s="246"/>
      <c r="AA24" s="246"/>
      <c r="AB24" s="247"/>
      <c r="AC24" s="246"/>
      <c r="AD24" s="246"/>
    </row>
    <row r="25" spans="1:30" s="144" customFormat="1" ht="15" customHeight="1" x14ac:dyDescent="0.25">
      <c r="A25" s="408"/>
      <c r="B25" s="63" t="s">
        <v>520</v>
      </c>
      <c r="C25" s="64">
        <v>0.01</v>
      </c>
      <c r="D25" s="36">
        <v>7.0000000000000007E-2</v>
      </c>
      <c r="E25" s="36">
        <v>0</v>
      </c>
      <c r="F25" s="36">
        <v>0.5</v>
      </c>
      <c r="G25" s="36">
        <v>0</v>
      </c>
      <c r="H25" s="36">
        <v>0</v>
      </c>
      <c r="I25" s="36">
        <v>0</v>
      </c>
      <c r="J25" s="36">
        <v>0.25</v>
      </c>
      <c r="K25" s="37">
        <v>0.04</v>
      </c>
      <c r="L25" s="65">
        <f t="shared" si="2"/>
        <v>0.8600000000000001</v>
      </c>
      <c r="M25" s="21"/>
      <c r="N25" s="135"/>
      <c r="O25" s="239">
        <f t="shared" si="9"/>
        <v>0.8600000000000001</v>
      </c>
      <c r="P25" s="174">
        <f t="shared" si="11"/>
        <v>4</v>
      </c>
      <c r="Q25" s="240">
        <f t="shared" si="4"/>
        <v>5.2</v>
      </c>
      <c r="R25" s="240">
        <f t="shared" si="5"/>
        <v>6</v>
      </c>
      <c r="S25" s="240">
        <f t="shared" si="6"/>
        <v>9</v>
      </c>
      <c r="T25" s="174">
        <f t="shared" si="6"/>
        <v>9</v>
      </c>
      <c r="U25" s="174">
        <f t="shared" ref="U25:U33" si="12">O25*1.6</f>
        <v>1.3760000000000003</v>
      </c>
      <c r="V25" s="241" t="str">
        <f t="shared" si="8"/>
        <v>3pm</v>
      </c>
      <c r="W25" s="173"/>
      <c r="Z25" s="246"/>
      <c r="AA25" s="225"/>
      <c r="AB25" s="246"/>
      <c r="AC25" s="247"/>
      <c r="AD25" s="246"/>
    </row>
    <row r="26" spans="1:30" s="144" customFormat="1" ht="15" customHeight="1" x14ac:dyDescent="0.25">
      <c r="A26" s="408"/>
      <c r="B26" s="63" t="s">
        <v>521</v>
      </c>
      <c r="C26" s="64">
        <v>0.01</v>
      </c>
      <c r="D26" s="36">
        <v>7.0000000000000007E-2</v>
      </c>
      <c r="E26" s="36">
        <v>0</v>
      </c>
      <c r="F26" s="36">
        <v>0.5</v>
      </c>
      <c r="G26" s="36">
        <v>0</v>
      </c>
      <c r="H26" s="36">
        <v>0</v>
      </c>
      <c r="I26" s="36">
        <v>0</v>
      </c>
      <c r="J26" s="36">
        <v>0.05</v>
      </c>
      <c r="K26" s="37">
        <v>0.04</v>
      </c>
      <c r="L26" s="65">
        <f t="shared" si="2"/>
        <v>0.66000000000000014</v>
      </c>
      <c r="M26" s="21"/>
      <c r="N26" s="132"/>
      <c r="O26" s="239">
        <f t="shared" si="9"/>
        <v>0.66000000000000014</v>
      </c>
      <c r="P26" s="174">
        <f>ROUND(AVERAGE(P25, P27),1)</f>
        <v>4</v>
      </c>
      <c r="Q26" s="240">
        <f t="shared" si="4"/>
        <v>5.2</v>
      </c>
      <c r="R26" s="240">
        <f t="shared" si="5"/>
        <v>6</v>
      </c>
      <c r="S26" s="240">
        <f t="shared" si="6"/>
        <v>9</v>
      </c>
      <c r="T26" s="174">
        <f t="shared" si="6"/>
        <v>9</v>
      </c>
      <c r="U26" s="174">
        <f t="shared" si="12"/>
        <v>1.0560000000000003</v>
      </c>
      <c r="V26" s="241" t="str">
        <f t="shared" si="8"/>
        <v>4pm</v>
      </c>
      <c r="W26" s="173"/>
      <c r="Z26" s="246"/>
      <c r="AA26" s="246"/>
      <c r="AB26" s="247"/>
      <c r="AC26" s="246"/>
      <c r="AD26" s="246"/>
    </row>
    <row r="27" spans="1:30" s="144" customFormat="1" ht="15" customHeight="1" x14ac:dyDescent="0.25">
      <c r="A27" s="408"/>
      <c r="B27" s="63" t="s">
        <v>522</v>
      </c>
      <c r="C27" s="64">
        <v>7.0000000000000007E-2</v>
      </c>
      <c r="D27" s="36">
        <v>7.0000000000000007E-2</v>
      </c>
      <c r="E27" s="36">
        <v>0</v>
      </c>
      <c r="F27" s="36">
        <v>0</v>
      </c>
      <c r="G27" s="36"/>
      <c r="H27" s="36">
        <v>0</v>
      </c>
      <c r="I27" s="36">
        <v>0.02</v>
      </c>
      <c r="J27" s="36">
        <v>0.05</v>
      </c>
      <c r="K27" s="37">
        <v>0.04</v>
      </c>
      <c r="L27" s="65">
        <f t="shared" si="2"/>
        <v>0.18000000000000002</v>
      </c>
      <c r="M27" s="98" t="s">
        <v>656</v>
      </c>
      <c r="N27" s="132"/>
      <c r="O27" s="239">
        <f t="shared" si="9"/>
        <v>0.18000000000000002</v>
      </c>
      <c r="P27" s="174">
        <f t="shared" si="3"/>
        <v>4</v>
      </c>
      <c r="Q27" s="240">
        <f t="shared" si="4"/>
        <v>5.2</v>
      </c>
      <c r="R27" s="240">
        <f t="shared" si="5"/>
        <v>6</v>
      </c>
      <c r="S27" s="240">
        <f t="shared" si="6"/>
        <v>9</v>
      </c>
      <c r="T27" s="174">
        <f t="shared" si="6"/>
        <v>9</v>
      </c>
      <c r="U27" s="174">
        <f t="shared" si="12"/>
        <v>0.28800000000000003</v>
      </c>
      <c r="V27" s="241" t="str">
        <f t="shared" si="8"/>
        <v>5pm</v>
      </c>
      <c r="W27" s="173"/>
      <c r="Z27" s="246"/>
      <c r="AA27" s="225"/>
      <c r="AB27" s="246"/>
      <c r="AC27" s="247"/>
      <c r="AD27" s="246"/>
    </row>
    <row r="28" spans="1:30" s="144" customFormat="1" x14ac:dyDescent="0.25">
      <c r="A28" s="406" t="s">
        <v>244</v>
      </c>
      <c r="B28" s="67" t="s">
        <v>523</v>
      </c>
      <c r="C28" s="59">
        <v>0.12</v>
      </c>
      <c r="D28" s="38">
        <v>7.0000000000000007E-2</v>
      </c>
      <c r="E28" s="38">
        <v>0</v>
      </c>
      <c r="F28" s="38">
        <v>0</v>
      </c>
      <c r="G28" s="38">
        <v>0.13</v>
      </c>
      <c r="H28" s="38">
        <v>0.15</v>
      </c>
      <c r="I28" s="38">
        <v>0.02</v>
      </c>
      <c r="J28" s="38">
        <v>0</v>
      </c>
      <c r="K28" s="39">
        <v>0.04</v>
      </c>
      <c r="L28" s="62">
        <f t="shared" si="2"/>
        <v>0.41</v>
      </c>
      <c r="M28" s="89">
        <f>(SUM(L10:L15)+SUM(L28:L33))/M8</f>
        <v>3.114692138537658</v>
      </c>
      <c r="N28" s="132"/>
      <c r="O28" s="239">
        <f t="shared" si="9"/>
        <v>0.41</v>
      </c>
      <c r="P28" s="174">
        <f t="shared" si="3"/>
        <v>4</v>
      </c>
      <c r="Q28" s="240">
        <f t="shared" si="4"/>
        <v>5.2</v>
      </c>
      <c r="R28" s="240">
        <f t="shared" si="5"/>
        <v>6</v>
      </c>
      <c r="S28" s="240">
        <f t="shared" si="6"/>
        <v>9</v>
      </c>
      <c r="T28" s="174">
        <f t="shared" si="6"/>
        <v>9</v>
      </c>
      <c r="U28" s="174">
        <f t="shared" si="12"/>
        <v>0.65600000000000003</v>
      </c>
      <c r="V28" s="241" t="str">
        <f t="shared" si="8"/>
        <v>6pm</v>
      </c>
      <c r="W28" s="173"/>
      <c r="Z28" s="246"/>
      <c r="AA28" s="246"/>
      <c r="AB28" s="247"/>
      <c r="AC28" s="246"/>
      <c r="AD28" s="246"/>
    </row>
    <row r="29" spans="1:30" s="144" customFormat="1" x14ac:dyDescent="0.25">
      <c r="A29" s="406"/>
      <c r="B29" s="67" t="s">
        <v>524</v>
      </c>
      <c r="C29" s="59">
        <v>0.12</v>
      </c>
      <c r="D29" s="38">
        <v>7.0000000000000007E-2</v>
      </c>
      <c r="E29" s="38">
        <v>0</v>
      </c>
      <c r="F29" s="38">
        <v>0</v>
      </c>
      <c r="G29" s="38">
        <v>0.13</v>
      </c>
      <c r="H29" s="38">
        <v>0.2</v>
      </c>
      <c r="I29" s="38">
        <v>0.1</v>
      </c>
      <c r="J29" s="38">
        <v>0.15</v>
      </c>
      <c r="K29" s="39">
        <v>0.04</v>
      </c>
      <c r="L29" s="62">
        <f t="shared" si="2"/>
        <v>0.69000000000000006</v>
      </c>
      <c r="M29" s="90">
        <f>M28/M9</f>
        <v>0.20094787990565535</v>
      </c>
      <c r="N29" s="132"/>
      <c r="O29" s="239">
        <f t="shared" si="9"/>
        <v>0.69000000000000006</v>
      </c>
      <c r="P29" s="174">
        <f t="shared" si="3"/>
        <v>4</v>
      </c>
      <c r="Q29" s="240">
        <f t="shared" si="4"/>
        <v>5.2</v>
      </c>
      <c r="R29" s="240">
        <f t="shared" si="5"/>
        <v>6</v>
      </c>
      <c r="S29" s="240">
        <f t="shared" si="6"/>
        <v>9</v>
      </c>
      <c r="T29" s="174">
        <f t="shared" si="6"/>
        <v>9</v>
      </c>
      <c r="U29" s="174">
        <f t="shared" si="12"/>
        <v>1.1040000000000001</v>
      </c>
      <c r="V29" s="241" t="str">
        <f t="shared" si="8"/>
        <v>7pm</v>
      </c>
      <c r="W29" s="173"/>
      <c r="Z29" s="246"/>
      <c r="AA29" s="225"/>
      <c r="AB29" s="246"/>
      <c r="AC29" s="247"/>
      <c r="AD29" s="246"/>
    </row>
    <row r="30" spans="1:30" s="144" customFormat="1" x14ac:dyDescent="0.25">
      <c r="A30" s="406"/>
      <c r="B30" s="67" t="s">
        <v>525</v>
      </c>
      <c r="C30" s="59">
        <v>0.09</v>
      </c>
      <c r="D30" s="38">
        <v>7.0000000000000007E-2</v>
      </c>
      <c r="E30" s="38">
        <v>0</v>
      </c>
      <c r="F30" s="38">
        <v>0</v>
      </c>
      <c r="G30" s="38">
        <v>0.13</v>
      </c>
      <c r="H30" s="38">
        <v>0.2</v>
      </c>
      <c r="I30" s="38">
        <v>0.1</v>
      </c>
      <c r="J30" s="38">
        <v>0.1</v>
      </c>
      <c r="K30" s="39">
        <v>0.04</v>
      </c>
      <c r="L30" s="62">
        <f t="shared" si="2"/>
        <v>0.64</v>
      </c>
      <c r="M30" s="21"/>
      <c r="N30" s="132"/>
      <c r="O30" s="239">
        <f t="shared" si="9"/>
        <v>0.64</v>
      </c>
      <c r="P30" s="174">
        <f t="shared" si="3"/>
        <v>4</v>
      </c>
      <c r="Q30" s="240">
        <f t="shared" si="4"/>
        <v>5.2</v>
      </c>
      <c r="R30" s="240">
        <f t="shared" si="5"/>
        <v>6</v>
      </c>
      <c r="S30" s="240">
        <f t="shared" si="6"/>
        <v>9</v>
      </c>
      <c r="T30" s="174">
        <f t="shared" si="6"/>
        <v>9</v>
      </c>
      <c r="U30" s="174">
        <f t="shared" si="12"/>
        <v>1.024</v>
      </c>
      <c r="V30" s="241" t="str">
        <f t="shared" si="8"/>
        <v>8pm</v>
      </c>
      <c r="W30" s="173"/>
      <c r="Z30" s="246"/>
      <c r="AA30" s="246"/>
      <c r="AB30" s="247"/>
      <c r="AC30" s="246"/>
      <c r="AD30" s="246"/>
    </row>
    <row r="31" spans="1:30" s="144" customFormat="1" x14ac:dyDescent="0.25">
      <c r="A31" s="406"/>
      <c r="B31" s="67" t="s">
        <v>526</v>
      </c>
      <c r="C31" s="59">
        <v>0.05</v>
      </c>
      <c r="D31" s="38">
        <v>7.0000000000000007E-2</v>
      </c>
      <c r="E31" s="38">
        <v>0</v>
      </c>
      <c r="F31" s="38">
        <v>0</v>
      </c>
      <c r="G31" s="38">
        <v>0.13</v>
      </c>
      <c r="H31" s="38">
        <v>0</v>
      </c>
      <c r="I31" s="38">
        <v>0.1</v>
      </c>
      <c r="J31" s="38">
        <v>0</v>
      </c>
      <c r="K31" s="39">
        <v>0.04</v>
      </c>
      <c r="L31" s="62">
        <f t="shared" si="2"/>
        <v>0.34</v>
      </c>
      <c r="M31" s="21"/>
      <c r="N31" s="132"/>
      <c r="O31" s="239">
        <f t="shared" si="9"/>
        <v>0.34</v>
      </c>
      <c r="P31" s="174">
        <f t="shared" si="3"/>
        <v>4</v>
      </c>
      <c r="Q31" s="240">
        <f t="shared" si="4"/>
        <v>5.2</v>
      </c>
      <c r="R31" s="240">
        <f t="shared" si="5"/>
        <v>6</v>
      </c>
      <c r="S31" s="240">
        <f t="shared" si="6"/>
        <v>9</v>
      </c>
      <c r="T31" s="174">
        <f t="shared" si="6"/>
        <v>9</v>
      </c>
      <c r="U31" s="174">
        <f t="shared" si="12"/>
        <v>0.54400000000000004</v>
      </c>
      <c r="V31" s="241" t="str">
        <f t="shared" si="8"/>
        <v>9pm</v>
      </c>
      <c r="W31" s="173"/>
      <c r="Z31" s="246"/>
      <c r="AA31" s="225"/>
      <c r="AB31" s="246"/>
      <c r="AC31" s="247"/>
      <c r="AD31" s="246"/>
    </row>
    <row r="32" spans="1:30" s="144" customFormat="1" x14ac:dyDescent="0.25">
      <c r="A32" s="406"/>
      <c r="B32" s="67" t="s">
        <v>527</v>
      </c>
      <c r="C32" s="59">
        <v>0.03</v>
      </c>
      <c r="D32" s="38">
        <v>7.0000000000000007E-2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9">
        <v>0.04</v>
      </c>
      <c r="L32" s="62">
        <f t="shared" si="2"/>
        <v>0.11000000000000001</v>
      </c>
      <c r="M32" s="21"/>
      <c r="N32" s="132"/>
      <c r="O32" s="239">
        <f t="shared" si="9"/>
        <v>0.11000000000000001</v>
      </c>
      <c r="P32" s="174">
        <f t="shared" si="3"/>
        <v>4</v>
      </c>
      <c r="Q32" s="240">
        <f t="shared" si="4"/>
        <v>5.2</v>
      </c>
      <c r="R32" s="240">
        <f t="shared" si="5"/>
        <v>6</v>
      </c>
      <c r="S32" s="240">
        <f t="shared" si="6"/>
        <v>9</v>
      </c>
      <c r="T32" s="174">
        <f t="shared" si="6"/>
        <v>9</v>
      </c>
      <c r="U32" s="174">
        <f t="shared" si="12"/>
        <v>0.17600000000000005</v>
      </c>
      <c r="V32" s="241" t="str">
        <f t="shared" si="8"/>
        <v>10pm</v>
      </c>
      <c r="W32" s="173"/>
      <c r="Z32" s="246"/>
      <c r="AA32" s="246"/>
      <c r="AB32" s="247"/>
      <c r="AC32" s="246"/>
      <c r="AD32" s="246"/>
    </row>
    <row r="33" spans="1:32" s="144" customFormat="1" x14ac:dyDescent="0.25">
      <c r="A33" s="406"/>
      <c r="B33" s="67" t="s">
        <v>528</v>
      </c>
      <c r="C33" s="59">
        <v>0.01</v>
      </c>
      <c r="D33" s="38">
        <v>7.0000000000000007E-2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9">
        <v>0.04</v>
      </c>
      <c r="L33" s="62">
        <f t="shared" si="2"/>
        <v>0.11000000000000001</v>
      </c>
      <c r="M33" s="22"/>
      <c r="N33" s="132"/>
      <c r="O33" s="239">
        <f t="shared" si="9"/>
        <v>0.11000000000000001</v>
      </c>
      <c r="P33" s="174">
        <f t="shared" si="3"/>
        <v>4</v>
      </c>
      <c r="Q33" s="240">
        <f t="shared" si="4"/>
        <v>5.2</v>
      </c>
      <c r="R33" s="240">
        <f t="shared" si="5"/>
        <v>6</v>
      </c>
      <c r="S33" s="240">
        <f t="shared" si="6"/>
        <v>9</v>
      </c>
      <c r="T33" s="174">
        <f t="shared" si="6"/>
        <v>9</v>
      </c>
      <c r="U33" s="174">
        <f t="shared" si="12"/>
        <v>0.17600000000000005</v>
      </c>
      <c r="V33" s="241" t="str">
        <f t="shared" si="8"/>
        <v>11pm</v>
      </c>
      <c r="W33" s="173"/>
      <c r="Z33" s="246"/>
      <c r="AA33" s="225"/>
      <c r="AB33" s="246"/>
      <c r="AC33" s="247"/>
      <c r="AD33" s="246"/>
    </row>
    <row r="34" spans="1:32" x14ac:dyDescent="0.25">
      <c r="A34"/>
      <c r="B34"/>
      <c r="C34" s="24">
        <f>SUM(C10:C33)</f>
        <v>1</v>
      </c>
      <c r="D34" s="23">
        <f>SUM(D10:D33)</f>
        <v>1.680000000000001</v>
      </c>
      <c r="E34" s="23">
        <f>SUM(E10:E33)</f>
        <v>5</v>
      </c>
      <c r="F34" s="23">
        <f>SUM(F10:F33)</f>
        <v>4</v>
      </c>
      <c r="G34" s="23">
        <f t="shared" ref="G34:L34" si="13">SUM(G10:G33)</f>
        <v>0.52</v>
      </c>
      <c r="H34" s="23">
        <f t="shared" si="13"/>
        <v>0.8</v>
      </c>
      <c r="I34" s="23">
        <f t="shared" si="13"/>
        <v>0.34</v>
      </c>
      <c r="J34" s="23">
        <f>SUM(J10:J33)</f>
        <v>1.4000000000000001</v>
      </c>
      <c r="K34" s="23">
        <f t="shared" si="13"/>
        <v>0.9600000000000003</v>
      </c>
      <c r="L34" s="23">
        <f t="shared" si="13"/>
        <v>14.7</v>
      </c>
      <c r="M34"/>
      <c r="N34" s="2"/>
      <c r="O34" s="239">
        <f>O10</f>
        <v>0.11000000000000001</v>
      </c>
      <c r="P34" s="174">
        <f t="shared" si="3"/>
        <v>4</v>
      </c>
      <c r="Q34" s="240">
        <f t="shared" si="4"/>
        <v>5.2</v>
      </c>
      <c r="R34" s="240">
        <f t="shared" si="5"/>
        <v>6</v>
      </c>
      <c r="S34" s="240">
        <f t="shared" si="6"/>
        <v>9</v>
      </c>
      <c r="T34" s="174">
        <f t="shared" si="6"/>
        <v>9</v>
      </c>
      <c r="U34" s="174">
        <f>U10</f>
        <v>0.17600000000000005</v>
      </c>
      <c r="V34" s="241" t="s">
        <v>517</v>
      </c>
      <c r="W34" s="173"/>
      <c r="X34" s="144"/>
      <c r="Y34" s="144"/>
      <c r="Z34" s="246"/>
      <c r="AA34" s="246"/>
      <c r="AB34" s="247"/>
      <c r="AC34" s="246"/>
      <c r="AD34" s="246"/>
      <c r="AE34" s="144"/>
      <c r="AF34" s="144"/>
    </row>
    <row r="35" spans="1:32" x14ac:dyDescent="0.25">
      <c r="A35"/>
      <c r="B35" s="96" t="s">
        <v>548</v>
      </c>
      <c r="C35" s="95"/>
      <c r="D35" s="95"/>
      <c r="E35" s="95"/>
      <c r="F35" s="95"/>
      <c r="G35" s="95"/>
      <c r="H35" s="95"/>
      <c r="I35" s="95"/>
      <c r="J35" s="95"/>
      <c r="K35" s="95"/>
      <c r="L35"/>
      <c r="M35"/>
      <c r="N35" s="2"/>
      <c r="O35" s="248"/>
      <c r="P35" s="249"/>
      <c r="R35" s="248"/>
      <c r="S35" s="248"/>
      <c r="T35" s="248"/>
      <c r="U35" s="248"/>
      <c r="V35" s="250"/>
      <c r="W35" s="173"/>
      <c r="X35" s="144"/>
      <c r="Y35" s="144"/>
      <c r="Z35" s="246"/>
      <c r="AB35" s="246"/>
      <c r="AC35" s="247"/>
      <c r="AD35" s="246"/>
      <c r="AE35" s="144"/>
      <c r="AF35" s="144"/>
    </row>
    <row r="36" spans="1:32" x14ac:dyDescent="0.25">
      <c r="A36"/>
      <c r="B36" s="407" t="s">
        <v>685</v>
      </c>
      <c r="C36" s="407"/>
      <c r="D36" s="407"/>
      <c r="E36" s="407"/>
      <c r="F36" s="407"/>
      <c r="G36" s="407"/>
      <c r="H36" s="407"/>
      <c r="I36" s="407"/>
      <c r="J36" s="407"/>
      <c r="K36" s="407"/>
      <c r="L36"/>
      <c r="M36"/>
      <c r="N36" s="2"/>
      <c r="O36" s="248"/>
      <c r="P36" s="248"/>
      <c r="Q36" s="248"/>
      <c r="R36" s="248"/>
      <c r="S36" s="248"/>
      <c r="T36" s="248"/>
      <c r="U36" s="248"/>
      <c r="V36" s="250"/>
      <c r="W36" s="173"/>
      <c r="X36" s="144"/>
      <c r="Y36" s="144"/>
      <c r="Z36" s="246"/>
      <c r="AA36" s="246"/>
      <c r="AB36" s="247"/>
      <c r="AC36" s="246"/>
      <c r="AD36" s="246"/>
      <c r="AE36" s="144"/>
      <c r="AF36" s="144"/>
    </row>
    <row r="37" spans="1:32" x14ac:dyDescent="0.25">
      <c r="A37"/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/>
      <c r="M37"/>
      <c r="N37" s="2"/>
      <c r="P37" s="248"/>
      <c r="Q37" s="223"/>
      <c r="R37" s="248"/>
      <c r="S37" s="248"/>
      <c r="T37" s="248"/>
      <c r="U37" s="248"/>
      <c r="V37" s="250"/>
      <c r="W37" s="173"/>
      <c r="X37" s="144"/>
      <c r="Y37" s="144"/>
      <c r="Z37" s="246"/>
      <c r="AB37" s="246"/>
      <c r="AC37" s="247"/>
      <c r="AD37" s="246"/>
      <c r="AE37" s="144"/>
      <c r="AF37" s="144"/>
    </row>
    <row r="38" spans="1:32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 s="2"/>
      <c r="P38" s="248"/>
      <c r="Q38" s="223"/>
      <c r="R38" s="248"/>
      <c r="S38" s="248"/>
      <c r="T38" s="248"/>
      <c r="U38" s="248"/>
      <c r="V38" s="250"/>
      <c r="W38" s="173"/>
      <c r="X38" s="144"/>
      <c r="Y38" s="144"/>
      <c r="Z38" s="246"/>
      <c r="AA38" s="246"/>
      <c r="AB38" s="247"/>
      <c r="AC38" s="246"/>
      <c r="AD38" s="246"/>
      <c r="AE38" s="144"/>
      <c r="AF38" s="144"/>
    </row>
    <row r="39" spans="1:32" x14ac:dyDescent="0.25">
      <c r="A39"/>
      <c r="B39"/>
      <c r="C39" s="35" t="s">
        <v>543</v>
      </c>
      <c r="D39" s="28"/>
      <c r="E39"/>
      <c r="F39" s="28"/>
      <c r="G39" s="28"/>
      <c r="H39" s="29"/>
      <c r="I39" s="28"/>
      <c r="J39" s="28"/>
      <c r="K39" s="28"/>
      <c r="L39" s="28"/>
      <c r="M39"/>
      <c r="N39" s="2"/>
      <c r="O39" s="248"/>
      <c r="P39" s="248"/>
      <c r="Q39" s="223"/>
      <c r="R39" s="248"/>
      <c r="S39" s="248"/>
      <c r="T39" s="248"/>
      <c r="U39" s="248"/>
      <c r="V39" s="250"/>
      <c r="W39" s="246"/>
      <c r="Z39" s="246"/>
      <c r="AB39" s="246"/>
      <c r="AC39" s="247"/>
      <c r="AD39" s="246"/>
      <c r="AE39" s="144"/>
      <c r="AF39" s="144"/>
    </row>
    <row r="40" spans="1:32" x14ac:dyDescent="0.25">
      <c r="A40"/>
      <c r="B40"/>
      <c r="C40" s="27"/>
      <c r="D40" s="28"/>
      <c r="E40" s="28"/>
      <c r="F40" s="28"/>
      <c r="G40" s="28"/>
      <c r="H40" s="29"/>
      <c r="I40" s="30" t="s">
        <v>4</v>
      </c>
      <c r="J40" s="30" t="s">
        <v>31</v>
      </c>
      <c r="K40" s="28"/>
      <c r="L40" s="28"/>
      <c r="M40" s="21"/>
      <c r="N40" s="2"/>
      <c r="O40" s="248"/>
      <c r="P40" s="248"/>
      <c r="Q40" s="223"/>
      <c r="R40" s="248"/>
      <c r="S40" s="248"/>
      <c r="T40" s="248"/>
      <c r="U40" s="248"/>
      <c r="V40" s="250"/>
      <c r="W40" s="246"/>
      <c r="Z40" s="246"/>
      <c r="AA40" s="246"/>
      <c r="AB40" s="247"/>
      <c r="AC40" s="246"/>
      <c r="AD40" s="246"/>
      <c r="AE40" s="144"/>
      <c r="AF40" s="144"/>
    </row>
    <row r="41" spans="1:32" x14ac:dyDescent="0.25">
      <c r="A41"/>
      <c r="B41" s="409"/>
      <c r="C41" s="409"/>
      <c r="D41" s="31" t="s">
        <v>539</v>
      </c>
      <c r="E41" s="31" t="s">
        <v>538</v>
      </c>
      <c r="F41" s="31" t="s">
        <v>536</v>
      </c>
      <c r="G41" s="43" t="s">
        <v>31</v>
      </c>
      <c r="H41" s="42" t="s">
        <v>6</v>
      </c>
      <c r="I41" s="31" t="s">
        <v>537</v>
      </c>
      <c r="J41" s="31" t="s">
        <v>540</v>
      </c>
      <c r="K41" s="31" t="s">
        <v>541</v>
      </c>
      <c r="L41" s="403" t="s">
        <v>542</v>
      </c>
      <c r="M41" s="403"/>
      <c r="N41" s="2"/>
      <c r="O41" s="144"/>
      <c r="P41" s="225"/>
      <c r="Q41" s="223"/>
      <c r="R41" s="248"/>
      <c r="S41" s="248"/>
      <c r="T41" s="248"/>
      <c r="U41" s="248"/>
      <c r="V41" s="250"/>
      <c r="W41" s="246"/>
      <c r="Z41" s="246"/>
      <c r="AB41" s="246"/>
      <c r="AC41" s="247"/>
      <c r="AD41" s="246"/>
      <c r="AE41" s="144"/>
      <c r="AF41" s="144"/>
    </row>
    <row r="42" spans="1:32" x14ac:dyDescent="0.25">
      <c r="A42"/>
      <c r="B42" s="403" t="s">
        <v>535</v>
      </c>
      <c r="C42" s="403"/>
      <c r="D42" s="32">
        <f>E42/24</f>
        <v>2.3000000000000003E-2</v>
      </c>
      <c r="E42" s="32">
        <f>G42*I42/1000</f>
        <v>0.55200000000000005</v>
      </c>
      <c r="F42" s="33"/>
      <c r="G42" s="33">
        <v>92</v>
      </c>
      <c r="H42" s="32"/>
      <c r="I42" s="31">
        <v>6</v>
      </c>
      <c r="J42" s="31"/>
      <c r="K42" s="31"/>
      <c r="L42" s="404"/>
      <c r="M42" s="404"/>
      <c r="N42" s="2"/>
      <c r="O42" s="249"/>
      <c r="P42" s="225"/>
      <c r="Q42" s="223"/>
      <c r="Z42" s="246"/>
      <c r="AA42" s="246"/>
      <c r="AB42" s="247"/>
      <c r="AC42" s="246"/>
      <c r="AD42" s="246"/>
      <c r="AE42" s="144"/>
      <c r="AF42" s="144"/>
    </row>
    <row r="43" spans="1:32" x14ac:dyDescent="0.25">
      <c r="A43"/>
      <c r="B43" s="403" t="s">
        <v>644</v>
      </c>
      <c r="C43" s="403"/>
      <c r="D43" s="32">
        <f>E43/24</f>
        <v>5.7077625570776253E-2</v>
      </c>
      <c r="E43" s="32">
        <f>F43/365</f>
        <v>1.3698630136986301</v>
      </c>
      <c r="F43" s="33">
        <v>500</v>
      </c>
      <c r="G43" s="33">
        <f>H43*240</f>
        <v>199.2</v>
      </c>
      <c r="H43" s="32">
        <v>0.83</v>
      </c>
      <c r="I43" s="34">
        <f>G43/(E43*1000)</f>
        <v>0.14541599999999999</v>
      </c>
      <c r="J43" s="31">
        <f>K43*G43</f>
        <v>1195.1999999999998</v>
      </c>
      <c r="K43" s="31">
        <v>6</v>
      </c>
      <c r="L43" s="404"/>
      <c r="M43" s="404"/>
      <c r="N43" s="2"/>
      <c r="O43" s="249"/>
      <c r="P43" s="225"/>
      <c r="Q43" s="223"/>
    </row>
    <row r="44" spans="1:32" x14ac:dyDescent="0.25">
      <c r="A44"/>
      <c r="B44" s="403" t="s">
        <v>645</v>
      </c>
      <c r="C44" s="403"/>
      <c r="D44" s="32">
        <f>E44/24</f>
        <v>4.0182648401826483E-2</v>
      </c>
      <c r="E44" s="32">
        <f>F44/365</f>
        <v>0.96438356164383565</v>
      </c>
      <c r="F44" s="33">
        <v>352</v>
      </c>
      <c r="G44" s="33">
        <f>H44*240</f>
        <v>180</v>
      </c>
      <c r="H44" s="32">
        <v>0.75</v>
      </c>
      <c r="I44" s="34">
        <f>G44/(E44*1000)</f>
        <v>0.18664772727272727</v>
      </c>
      <c r="J44" s="31">
        <f>K44*G44</f>
        <v>1080</v>
      </c>
      <c r="K44" s="31">
        <v>6</v>
      </c>
      <c r="L44" s="404" t="s">
        <v>646</v>
      </c>
      <c r="M44" s="404"/>
      <c r="N44" s="2"/>
      <c r="Q44" s="223"/>
    </row>
    <row r="45" spans="1:32" x14ac:dyDescent="0.25">
      <c r="A45"/>
      <c r="B45" s="403" t="s">
        <v>544</v>
      </c>
      <c r="C45" s="403"/>
      <c r="D45" s="32">
        <f>E45/24</f>
        <v>4.5833333333333334E-3</v>
      </c>
      <c r="E45" s="32">
        <f>G45*I45/1000</f>
        <v>0.11</v>
      </c>
      <c r="F45" s="33"/>
      <c r="G45" s="33">
        <v>220</v>
      </c>
      <c r="H45" s="32"/>
      <c r="I45" s="31">
        <v>0.5</v>
      </c>
      <c r="J45" s="31">
        <f>K45*G45</f>
        <v>1540</v>
      </c>
      <c r="K45" s="31">
        <v>7</v>
      </c>
      <c r="L45" s="404" t="s">
        <v>551</v>
      </c>
      <c r="M45" s="404"/>
      <c r="N45" s="2"/>
      <c r="O45" s="223"/>
      <c r="Q45" s="223"/>
    </row>
    <row r="46" spans="1:32" x14ac:dyDescent="0.25">
      <c r="A46"/>
      <c r="B46" s="403" t="s">
        <v>545</v>
      </c>
      <c r="C46" s="403"/>
      <c r="D46" s="57">
        <f t="shared" ref="D46:D47" si="14">E46/24</f>
        <v>2.5000000000000001E-3</v>
      </c>
      <c r="E46" s="32">
        <f>G46*I46/1000</f>
        <v>0.06</v>
      </c>
      <c r="F46" s="33"/>
      <c r="G46" s="33">
        <v>5</v>
      </c>
      <c r="H46" s="32"/>
      <c r="I46" s="31">
        <v>12</v>
      </c>
      <c r="J46" s="31"/>
      <c r="K46" s="31"/>
      <c r="L46" s="404"/>
      <c r="M46" s="404"/>
      <c r="N46" s="2"/>
      <c r="O46" s="225"/>
      <c r="P46" s="144"/>
      <c r="Q46" s="144"/>
    </row>
    <row r="47" spans="1:32" x14ac:dyDescent="0.25">
      <c r="A47"/>
      <c r="B47" s="403" t="s">
        <v>557</v>
      </c>
      <c r="C47" s="403"/>
      <c r="D47" s="32">
        <f t="shared" si="14"/>
        <v>2.3749999999999997E-2</v>
      </c>
      <c r="E47" s="32">
        <f>G47*I47/1000</f>
        <v>0.56999999999999995</v>
      </c>
      <c r="F47" s="33"/>
      <c r="G47" s="33">
        <v>95</v>
      </c>
      <c r="H47" s="32"/>
      <c r="I47" s="31">
        <v>6</v>
      </c>
      <c r="J47" s="31">
        <v>450</v>
      </c>
      <c r="K47" s="31"/>
      <c r="L47" s="404" t="s">
        <v>558</v>
      </c>
      <c r="M47" s="404"/>
      <c r="N47" s="2"/>
      <c r="O47" s="225"/>
      <c r="P47" s="144"/>
      <c r="Q47" s="144"/>
    </row>
    <row r="48" spans="1:32" x14ac:dyDescent="0.25">
      <c r="A48"/>
      <c r="B48" s="403" t="s">
        <v>556</v>
      </c>
      <c r="C48" s="403"/>
      <c r="D48" s="32">
        <v>0.25</v>
      </c>
      <c r="E48" s="32"/>
      <c r="F48" s="33"/>
      <c r="G48" s="33"/>
      <c r="H48" s="32"/>
      <c r="I48" s="31"/>
      <c r="J48" s="31"/>
      <c r="K48" s="31"/>
      <c r="L48" s="404"/>
      <c r="M48" s="404"/>
      <c r="N48" s="2"/>
      <c r="O48" s="225"/>
      <c r="P48" s="144"/>
      <c r="Q48" s="144"/>
    </row>
    <row r="49" spans="1:22" x14ac:dyDescent="0.25">
      <c r="A49"/>
      <c r="B49" s="403" t="s">
        <v>647</v>
      </c>
      <c r="C49" s="403"/>
      <c r="D49" s="32">
        <v>0.04</v>
      </c>
      <c r="E49" s="32"/>
      <c r="F49" s="33"/>
      <c r="G49" s="33"/>
      <c r="H49" s="32"/>
      <c r="I49" s="31"/>
      <c r="J49" s="31"/>
      <c r="K49" s="31"/>
      <c r="L49" s="404"/>
      <c r="M49" s="404"/>
      <c r="N49" s="2"/>
      <c r="O49" s="225"/>
      <c r="P49" s="144"/>
      <c r="Q49" s="144"/>
    </row>
    <row r="50" spans="1:22" x14ac:dyDescent="0.25">
      <c r="A50"/>
      <c r="B50" s="403" t="s">
        <v>559</v>
      </c>
      <c r="C50" s="403"/>
      <c r="D50" s="32">
        <v>0.09</v>
      </c>
      <c r="E50" s="32"/>
      <c r="F50" s="33"/>
      <c r="G50" s="33"/>
      <c r="H50" s="32"/>
      <c r="I50" s="31"/>
      <c r="J50" s="31"/>
      <c r="K50" s="31"/>
      <c r="L50" s="404" t="s">
        <v>648</v>
      </c>
      <c r="M50" s="404"/>
      <c r="N50" s="2"/>
      <c r="O50" s="144"/>
      <c r="P50" s="144"/>
      <c r="Q50" s="144"/>
    </row>
    <row r="51" spans="1:22" x14ac:dyDescent="0.25">
      <c r="A51"/>
      <c r="B51" s="403" t="s">
        <v>649</v>
      </c>
      <c r="C51" s="403"/>
      <c r="D51" s="32">
        <v>1.71</v>
      </c>
      <c r="E51" s="32">
        <f>D51*24</f>
        <v>41.04</v>
      </c>
      <c r="F51" s="33"/>
      <c r="G51" s="33">
        <v>5330</v>
      </c>
      <c r="H51" s="32"/>
      <c r="I51" s="31"/>
      <c r="J51" s="31"/>
      <c r="K51" s="31"/>
      <c r="L51" s="404"/>
      <c r="M51" s="404"/>
      <c r="N51" s="2"/>
      <c r="O51" s="144"/>
      <c r="P51" s="144"/>
      <c r="Q51" s="144"/>
    </row>
    <row r="52" spans="1:22" x14ac:dyDescent="0.25">
      <c r="A52"/>
      <c r="B52" s="403" t="s">
        <v>546</v>
      </c>
      <c r="C52" s="403"/>
      <c r="D52" s="32">
        <f>E52/24</f>
        <v>8.3333333333333332E-3</v>
      </c>
      <c r="E52" s="32">
        <f t="shared" ref="E52" si="15">G52*I52/1000</f>
        <v>0.2</v>
      </c>
      <c r="F52" s="33"/>
      <c r="G52" s="33">
        <v>1000</v>
      </c>
      <c r="H52" s="32"/>
      <c r="I52" s="31">
        <v>0.2</v>
      </c>
      <c r="J52" s="31"/>
      <c r="K52" s="31"/>
      <c r="L52" s="404" t="s">
        <v>650</v>
      </c>
      <c r="M52" s="404"/>
      <c r="N52" s="2"/>
      <c r="O52" s="144"/>
      <c r="P52" s="144"/>
      <c r="Q52" s="144"/>
    </row>
    <row r="53" spans="1:22" x14ac:dyDescent="0.25">
      <c r="A53"/>
      <c r="B53" s="403" t="s">
        <v>651</v>
      </c>
      <c r="C53" s="403"/>
      <c r="D53" s="32"/>
      <c r="E53" s="32" t="s">
        <v>664</v>
      </c>
      <c r="F53" s="33"/>
      <c r="G53" s="33"/>
      <c r="H53" s="32"/>
      <c r="I53" s="31"/>
      <c r="J53" s="31"/>
      <c r="K53" s="31"/>
      <c r="L53" s="404"/>
      <c r="M53" s="404"/>
      <c r="N53" s="2"/>
      <c r="O53" s="144"/>
      <c r="P53" s="144"/>
      <c r="Q53" s="144"/>
    </row>
    <row r="54" spans="1:22" x14ac:dyDescent="0.25">
      <c r="A54"/>
      <c r="B54" s="403"/>
      <c r="C54" s="403"/>
      <c r="D54" s="32"/>
      <c r="E54" s="32"/>
      <c r="F54" s="33"/>
      <c r="G54" s="33"/>
      <c r="H54" s="32"/>
      <c r="I54" s="31"/>
      <c r="J54" s="31"/>
      <c r="K54" s="31"/>
      <c r="L54" s="404"/>
      <c r="M54" s="404"/>
      <c r="N54" s="2"/>
      <c r="O54" s="144"/>
      <c r="P54" s="144"/>
      <c r="Q54" s="144"/>
    </row>
    <row r="55" spans="1:22" x14ac:dyDescent="0.25">
      <c r="A55"/>
      <c r="B55" s="403" t="s">
        <v>638</v>
      </c>
      <c r="C55" s="403"/>
      <c r="D55" s="32">
        <v>0.04</v>
      </c>
      <c r="E55" s="32"/>
      <c r="F55" s="33"/>
      <c r="G55" s="33">
        <v>40</v>
      </c>
      <c r="H55" s="32"/>
      <c r="I55" s="31"/>
      <c r="J55" s="31"/>
      <c r="K55" s="31"/>
      <c r="L55" s="404"/>
      <c r="M55" s="404"/>
      <c r="N55" s="2"/>
      <c r="O55" s="144"/>
      <c r="P55" s="144"/>
      <c r="Q55" s="144"/>
    </row>
    <row r="56" spans="1:22" x14ac:dyDescent="0.25">
      <c r="A56"/>
      <c r="B56" s="403"/>
      <c r="C56" s="403"/>
      <c r="D56" s="32"/>
      <c r="E56" s="32"/>
      <c r="F56" s="33"/>
      <c r="G56" s="33"/>
      <c r="H56" s="32"/>
      <c r="I56" s="54"/>
      <c r="J56" s="31"/>
      <c r="K56" s="31"/>
      <c r="L56" s="404"/>
      <c r="M56" s="404"/>
      <c r="N56" s="136"/>
    </row>
    <row r="57" spans="1:22" x14ac:dyDescent="0.25">
      <c r="A57"/>
      <c r="B57" s="403" t="s">
        <v>662</v>
      </c>
      <c r="C57" s="403"/>
      <c r="D57" s="32"/>
      <c r="E57" s="32"/>
      <c r="F57" s="33"/>
      <c r="G57" s="33">
        <v>1100</v>
      </c>
      <c r="H57" s="32"/>
      <c r="I57" s="31"/>
      <c r="J57" s="31"/>
      <c r="K57" s="31"/>
      <c r="L57" s="404" t="s">
        <v>663</v>
      </c>
      <c r="M57" s="404"/>
      <c r="N57" s="2"/>
    </row>
    <row r="58" spans="1:22" x14ac:dyDescent="0.25">
      <c r="A58" s="401"/>
      <c r="B58" s="402"/>
      <c r="C58" s="55"/>
      <c r="D58"/>
      <c r="E58"/>
      <c r="F58"/>
      <c r="G58"/>
      <c r="H58"/>
      <c r="I58"/>
      <c r="J58"/>
      <c r="K58"/>
      <c r="L58"/>
      <c r="M58"/>
      <c r="N58" s="2"/>
      <c r="S58" s="251"/>
      <c r="T58" s="251"/>
      <c r="U58" s="251"/>
      <c r="V58" s="252"/>
    </row>
    <row r="59" spans="1:22" x14ac:dyDescent="0.25">
      <c r="A59" s="68"/>
      <c r="B59" s="69"/>
      <c r="C59" s="55"/>
      <c r="D59"/>
      <c r="E59"/>
      <c r="F59"/>
      <c r="G59"/>
      <c r="H59"/>
      <c r="I59"/>
      <c r="J59"/>
      <c r="K59"/>
      <c r="L59"/>
      <c r="M59"/>
      <c r="N59" s="2"/>
      <c r="R59" s="253"/>
      <c r="S59" s="251"/>
      <c r="T59" s="251"/>
      <c r="U59" s="251"/>
      <c r="V59" s="252"/>
    </row>
    <row r="60" spans="1:22" ht="18.75" x14ac:dyDescent="0.3">
      <c r="A60" s="68"/>
      <c r="B60" s="69"/>
      <c r="C60" s="97" t="s">
        <v>670</v>
      </c>
      <c r="D60"/>
      <c r="E60"/>
      <c r="F60"/>
      <c r="G60"/>
      <c r="H60"/>
      <c r="I60"/>
      <c r="J60"/>
      <c r="K60"/>
      <c r="L60"/>
      <c r="M60"/>
      <c r="N60" s="2"/>
      <c r="R60" s="253"/>
      <c r="S60" s="251"/>
      <c r="T60" s="251"/>
      <c r="U60" s="251"/>
      <c r="V60" s="252"/>
    </row>
    <row r="61" spans="1:22" x14ac:dyDescent="0.25">
      <c r="A61" s="68"/>
      <c r="B61" s="69"/>
      <c r="C61"/>
      <c r="D61"/>
      <c r="E61"/>
      <c r="F61"/>
      <c r="G61"/>
      <c r="H61"/>
      <c r="I61"/>
      <c r="J61"/>
      <c r="K61"/>
      <c r="L61"/>
      <c r="M61"/>
      <c r="N61" s="2"/>
      <c r="Q61" s="253"/>
      <c r="R61" s="253"/>
      <c r="S61" s="251"/>
      <c r="T61" s="251"/>
      <c r="U61" s="251"/>
      <c r="V61" s="252"/>
    </row>
    <row r="62" spans="1:22" x14ac:dyDescent="0.25">
      <c r="A62"/>
      <c r="B62" t="str">
        <f>"Surge Power ("&amp;VLOOKUP(Calculator!E14, '-calcs-'!A670:T679, 2, FALSE)&amp;"):"</f>
        <v>Surge Power (MultiplusII 48/5000/70):</v>
      </c>
      <c r="C62"/>
      <c r="D62"/>
      <c r="E62"/>
      <c r="F62"/>
      <c r="G62"/>
      <c r="H62"/>
      <c r="I62"/>
      <c r="J62"/>
      <c r="K62"/>
      <c r="L62"/>
      <c r="M62"/>
      <c r="N62" s="2"/>
      <c r="R62" s="15"/>
      <c r="S62" s="254"/>
      <c r="T62" s="254"/>
      <c r="U62" s="254"/>
      <c r="V62" s="255"/>
    </row>
    <row r="63" spans="1:22" x14ac:dyDescent="0.25">
      <c r="A63"/>
      <c r="B63" s="44" t="s">
        <v>560</v>
      </c>
      <c r="C63" s="3" cm="1">
        <f t="array" ref="C63">INDEX('-calcs-'!A760:E780, Calculator!E10, 5)</f>
        <v>4</v>
      </c>
      <c r="D63" t="s">
        <v>72</v>
      </c>
      <c r="E63" s="219" t="s">
        <v>926</v>
      </c>
      <c r="F63"/>
      <c r="G63"/>
      <c r="H63"/>
      <c r="I63"/>
      <c r="J63"/>
      <c r="K63"/>
      <c r="L63"/>
      <c r="M63"/>
      <c r="N63" s="2"/>
      <c r="O63" s="256"/>
      <c r="P63" s="256"/>
      <c r="R63" s="15"/>
      <c r="S63" s="254"/>
      <c r="T63" s="254"/>
      <c r="U63" s="254"/>
      <c r="V63" s="255"/>
    </row>
    <row r="64" spans="1:22" x14ac:dyDescent="0.25">
      <c r="A64"/>
      <c r="B64" s="44" t="s">
        <v>561</v>
      </c>
      <c r="C64" s="3">
        <f>VLOOKUP(Calculator!E14, '-calcs-'!A670:T679, 6, FALSE)</f>
        <v>4</v>
      </c>
      <c r="D64" t="s">
        <v>72</v>
      </c>
      <c r="E64" s="219" t="s">
        <v>623</v>
      </c>
      <c r="F64"/>
      <c r="G64"/>
      <c r="H64"/>
      <c r="I64"/>
      <c r="J64"/>
      <c r="K64"/>
      <c r="L64"/>
      <c r="M64"/>
      <c r="N64" s="2"/>
      <c r="O64" s="256"/>
      <c r="P64" s="256"/>
    </row>
    <row r="65" spans="1:28" x14ac:dyDescent="0.25">
      <c r="A65"/>
      <c r="B65" s="44" t="s">
        <v>562</v>
      </c>
      <c r="C65" s="3">
        <f>C64*1.3</f>
        <v>5.2</v>
      </c>
      <c r="D65" t="s">
        <v>72</v>
      </c>
      <c r="E65" s="219" t="s">
        <v>563</v>
      </c>
      <c r="F65"/>
      <c r="G65"/>
      <c r="H65"/>
      <c r="I65"/>
      <c r="J65"/>
      <c r="K65"/>
      <c r="L65"/>
      <c r="M65"/>
      <c r="N65" s="2"/>
      <c r="P65" s="256"/>
    </row>
    <row r="66" spans="1:28" x14ac:dyDescent="0.25">
      <c r="A66"/>
      <c r="B66" s="44" t="s">
        <v>564</v>
      </c>
      <c r="C66" s="3">
        <f>C64*1.5</f>
        <v>6</v>
      </c>
      <c r="D66" t="s">
        <v>72</v>
      </c>
      <c r="E66" s="219" t="s">
        <v>565</v>
      </c>
      <c r="F66" s="44"/>
      <c r="G66"/>
      <c r="H66"/>
      <c r="I66"/>
      <c r="J66"/>
      <c r="K66"/>
      <c r="L66"/>
      <c r="M66"/>
      <c r="N66" s="2"/>
      <c r="O66" s="256"/>
      <c r="P66" s="256"/>
    </row>
    <row r="67" spans="1:28" x14ac:dyDescent="0.25">
      <c r="A67"/>
      <c r="B67" s="44" t="s">
        <v>566</v>
      </c>
      <c r="C67" s="3" cm="1">
        <f t="array" ref="C67">INDEX('-calcs-'!A670:G680, Calculator!AA24, 7)</f>
        <v>9</v>
      </c>
      <c r="D67" t="s">
        <v>72</v>
      </c>
      <c r="E67" s="219" t="s">
        <v>567</v>
      </c>
      <c r="F67" s="44"/>
      <c r="G67"/>
      <c r="H67"/>
      <c r="I67"/>
      <c r="J67"/>
      <c r="K67"/>
      <c r="L67"/>
      <c r="M67"/>
      <c r="N67" s="2"/>
      <c r="O67" s="256"/>
      <c r="P67" s="256"/>
    </row>
    <row r="68" spans="1:28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 s="2"/>
      <c r="O68" s="256"/>
      <c r="P68" s="256"/>
    </row>
    <row r="69" spans="1:28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 s="2"/>
    </row>
    <row r="70" spans="1:28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 s="2"/>
      <c r="P70" s="257"/>
      <c r="Y70" s="1"/>
      <c r="Z70" s="1"/>
      <c r="AA70" s="1"/>
      <c r="AB70" s="1"/>
    </row>
    <row r="71" spans="1:28" x14ac:dyDescent="0.25">
      <c r="A71" s="52"/>
      <c r="B71" s="400" t="s">
        <v>671</v>
      </c>
      <c r="C71" s="400"/>
      <c r="D71" s="400"/>
      <c r="E71" s="74"/>
      <c r="F71" s="74"/>
      <c r="G71" s="74"/>
      <c r="H71" s="75"/>
      <c r="I71" s="75"/>
      <c r="J71" s="75"/>
      <c r="K71" s="75"/>
      <c r="L71" s="75"/>
      <c r="M71" s="75"/>
      <c r="N71" s="2"/>
      <c r="P71" s="257"/>
      <c r="Y71" s="1"/>
      <c r="Z71" s="1"/>
      <c r="AA71" s="1"/>
      <c r="AB71" s="1"/>
    </row>
    <row r="72" spans="1:28" x14ac:dyDescent="0.25">
      <c r="A72" s="52"/>
      <c r="B72" s="400"/>
      <c r="C72" s="400"/>
      <c r="D72" s="400"/>
      <c r="E72" s="74"/>
      <c r="F72" s="102"/>
      <c r="G72" s="74"/>
      <c r="H72" s="75"/>
      <c r="I72" s="75"/>
      <c r="J72" s="75"/>
      <c r="K72" s="75"/>
      <c r="L72" s="75"/>
      <c r="M72" s="75"/>
      <c r="N72" s="2"/>
      <c r="Y72" s="1"/>
      <c r="Z72" s="1"/>
      <c r="AA72" s="1"/>
      <c r="AB72" s="1"/>
    </row>
    <row r="73" spans="1:28" x14ac:dyDescent="0.25">
      <c r="A73"/>
      <c r="B73"/>
      <c r="C73"/>
      <c r="D73" s="87" t="s">
        <v>862</v>
      </c>
      <c r="E73"/>
      <c r="F73"/>
      <c r="G73" s="146" t="str">
        <f>Calculator!E5</f>
        <v>Sydney</v>
      </c>
      <c r="H73"/>
      <c r="I73"/>
      <c r="J73"/>
      <c r="K73"/>
      <c r="L73"/>
      <c r="M73"/>
      <c r="N73" s="2"/>
      <c r="Y73" s="1"/>
      <c r="Z73" s="1"/>
      <c r="AA73" s="1"/>
      <c r="AB73" s="1"/>
    </row>
    <row r="74" spans="1:28" x14ac:dyDescent="0.25">
      <c r="A74" s="51" t="s">
        <v>198</v>
      </c>
      <c r="B74" s="17" t="s">
        <v>187</v>
      </c>
      <c r="C74" s="17" t="s">
        <v>188</v>
      </c>
      <c r="D74" s="17" t="s">
        <v>189</v>
      </c>
      <c r="E74" s="17" t="s">
        <v>190</v>
      </c>
      <c r="F74" s="17" t="s">
        <v>35</v>
      </c>
      <c r="G74" s="17" t="s">
        <v>191</v>
      </c>
      <c r="H74" s="17" t="s">
        <v>192</v>
      </c>
      <c r="I74" s="17" t="s">
        <v>193</v>
      </c>
      <c r="J74" s="17" t="s">
        <v>194</v>
      </c>
      <c r="K74" s="17" t="s">
        <v>195</v>
      </c>
      <c r="L74" s="17" t="s">
        <v>196</v>
      </c>
      <c r="M74" s="17" t="s">
        <v>197</v>
      </c>
      <c r="N74" s="2"/>
      <c r="Y74" s="1"/>
      <c r="Z74" s="1"/>
      <c r="AA74" s="1"/>
      <c r="AB74" s="1"/>
    </row>
    <row r="75" spans="1:28" x14ac:dyDescent="0.25">
      <c r="A75" s="51" t="s">
        <v>660</v>
      </c>
      <c r="B75" s="145">
        <f>VLOOKUP($G$73&amp;".max", $A$79:$M$116, 2, FALSE)</f>
        <v>26.7</v>
      </c>
      <c r="C75" s="145">
        <f>VLOOKUP($G$73&amp;".max", $A$79:$M$116, 3, FALSE)</f>
        <v>26.5</v>
      </c>
      <c r="D75" s="145">
        <f>VLOOKUP($G$73&amp;".max", $A$79:$M$116, 4, FALSE)</f>
        <v>25.4</v>
      </c>
      <c r="E75" s="145">
        <f>VLOOKUP($G$73&amp;".max", $A$79:$M$116, 5, FALSE)</f>
        <v>23</v>
      </c>
      <c r="F75" s="145">
        <f>VLOOKUP($G$73&amp;".max", $A$79:$M$116, 6, FALSE)</f>
        <v>20.2</v>
      </c>
      <c r="G75" s="145">
        <f>VLOOKUP($G$73&amp;".max", $A$79:$M$116, 7, FALSE)</f>
        <v>17.7</v>
      </c>
      <c r="H75" s="145">
        <f>VLOOKUP($G$73&amp;".max", $A$79:$M$116, 8, FALSE)</f>
        <v>17.2</v>
      </c>
      <c r="I75" s="145">
        <f>VLOOKUP($G$73&amp;".max", $A$79:$M$116, 9, FALSE)</f>
        <v>18.5</v>
      </c>
      <c r="J75" s="145">
        <f>VLOOKUP($G$73&amp;".max", $A$79:$M$116, 10, FALSE)</f>
        <v>20.7</v>
      </c>
      <c r="K75" s="145">
        <f>VLOOKUP($G$73&amp;".max", $A$79:$M$116, 11, FALSE)</f>
        <v>22.7</v>
      </c>
      <c r="L75" s="145">
        <f>VLOOKUP($G$73&amp;".max", $A$79:$M$116, 12, FALSE)</f>
        <v>24.2</v>
      </c>
      <c r="M75" s="145">
        <f>VLOOKUP($G$73&amp;".max", $A$79:$M$116, 13, FALSE)</f>
        <v>25.9</v>
      </c>
      <c r="N75" s="2"/>
      <c r="O75" s="227">
        <f>ROUND(J75,0)</f>
        <v>21</v>
      </c>
      <c r="P75" s="228" t="s">
        <v>857</v>
      </c>
      <c r="Y75" s="1"/>
      <c r="Z75" s="1"/>
      <c r="AA75" s="1"/>
      <c r="AB75" s="1"/>
    </row>
    <row r="76" spans="1:28" x14ac:dyDescent="0.25">
      <c r="A76" s="51" t="s">
        <v>661</v>
      </c>
      <c r="B76" s="145">
        <f>VLOOKUP($G$73&amp;".min", $A$79:$M$116, 2, FALSE)</f>
        <v>19</v>
      </c>
      <c r="C76" s="145">
        <f>VLOOKUP($G$73&amp;".min", $A$79:$M$116, 3, FALSE)</f>
        <v>19.2</v>
      </c>
      <c r="D76" s="145">
        <f>VLOOKUP($G$73&amp;".min", $A$79:$M$116, 4, FALSE)</f>
        <v>17.7</v>
      </c>
      <c r="E76" s="145">
        <f>VLOOKUP($G$73&amp;".min", $A$79:$M$116, 5, FALSE)</f>
        <v>14.4</v>
      </c>
      <c r="F76" s="145">
        <f>VLOOKUP($G$73&amp;".min", $A$79:$M$116, 6, FALSE)</f>
        <v>11.1</v>
      </c>
      <c r="G76" s="145">
        <f>VLOOKUP($G$73&amp;".min", $A$79:$M$116, 7, FALSE)</f>
        <v>8.8000000000000007</v>
      </c>
      <c r="H76" s="145">
        <f>VLOOKUP($G$73&amp;".min", $A$79:$M$116, 8, FALSE)</f>
        <v>7.4</v>
      </c>
      <c r="I76" s="145">
        <f>VLOOKUP($G$73&amp;".min", $A$79:$M$116, 9, FALSE)</f>
        <v>8.3000000000000007</v>
      </c>
      <c r="J76" s="145">
        <f>VLOOKUP($G$73&amp;".min", $A$79:$M$116, 10, FALSE)</f>
        <v>10.6</v>
      </c>
      <c r="K76" s="145">
        <f>VLOOKUP($G$73&amp;".min", $A$79:$M$116, 11, FALSE)</f>
        <v>13.4</v>
      </c>
      <c r="L76" s="145">
        <f>VLOOKUP($G$73&amp;".min", $A$79:$M$116, 12, FALSE)</f>
        <v>15.5</v>
      </c>
      <c r="M76" s="145">
        <f>VLOOKUP($G$73&amp;".min", $A$79:$M$116, 13, FALSE)</f>
        <v>17.600000000000001</v>
      </c>
      <c r="N76" s="2"/>
      <c r="O76" s="227">
        <f>ROUNDUP(MIN(B75:M76),0)</f>
        <v>8</v>
      </c>
      <c r="P76" s="229" t="s">
        <v>856</v>
      </c>
      <c r="Y76" s="1"/>
      <c r="Z76" s="1"/>
      <c r="AA76" s="1"/>
      <c r="AB76" s="1"/>
    </row>
    <row r="77" spans="1:28" x14ac:dyDescent="0.25">
      <c r="A77" s="220"/>
      <c r="B77" s="221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U77" s="223"/>
      <c r="Y77" s="1"/>
      <c r="Z77" s="1"/>
      <c r="AA77" s="1"/>
      <c r="AB77" s="1"/>
    </row>
    <row r="78" spans="1:28" x14ac:dyDescent="0.25">
      <c r="A78" s="41"/>
      <c r="B78" s="260"/>
      <c r="C78" s="264" t="s">
        <v>846</v>
      </c>
      <c r="D78" s="265" t="s">
        <v>845</v>
      </c>
      <c r="E78" s="260"/>
      <c r="F78" s="260"/>
      <c r="G78" s="260"/>
      <c r="H78" s="41"/>
      <c r="I78" s="41"/>
      <c r="J78" s="41"/>
      <c r="K78" s="41"/>
      <c r="L78" s="41"/>
      <c r="M78" s="41"/>
    </row>
    <row r="79" spans="1:28" x14ac:dyDescent="0.25">
      <c r="A79" s="258" t="s">
        <v>858</v>
      </c>
      <c r="B79" s="259">
        <v>29.1</v>
      </c>
      <c r="C79" s="259">
        <v>29</v>
      </c>
      <c r="D79" s="259">
        <v>28.1</v>
      </c>
      <c r="E79" s="259">
        <v>26</v>
      </c>
      <c r="F79" s="259">
        <v>23.6</v>
      </c>
      <c r="G79" s="259">
        <v>21.3</v>
      </c>
      <c r="H79" s="259">
        <v>20.9</v>
      </c>
      <c r="I79" s="259">
        <v>22</v>
      </c>
      <c r="J79" s="259">
        <v>24.2</v>
      </c>
      <c r="K79" s="259">
        <v>25.5</v>
      </c>
      <c r="L79" s="259">
        <v>26.9</v>
      </c>
      <c r="M79" s="259">
        <v>28.2</v>
      </c>
      <c r="N79" s="260"/>
      <c r="O79" s="261">
        <f>ROUND(J79,0)</f>
        <v>24</v>
      </c>
      <c r="P79" s="262" t="s">
        <v>857</v>
      </c>
      <c r="Q79" s="263"/>
    </row>
    <row r="80" spans="1:28" x14ac:dyDescent="0.25">
      <c r="A80" s="258" t="s">
        <v>859</v>
      </c>
      <c r="B80" s="259">
        <v>21.4</v>
      </c>
      <c r="C80" s="259">
        <v>21.2</v>
      </c>
      <c r="D80" s="259">
        <v>19.8</v>
      </c>
      <c r="E80" s="259">
        <v>16.5</v>
      </c>
      <c r="F80" s="259">
        <v>13</v>
      </c>
      <c r="G80" s="259">
        <v>10.8</v>
      </c>
      <c r="H80" s="259">
        <v>9.3000000000000007</v>
      </c>
      <c r="I80" s="259">
        <v>9.8000000000000007</v>
      </c>
      <c r="J80" s="259">
        <v>12.9</v>
      </c>
      <c r="K80" s="259">
        <v>15.9</v>
      </c>
      <c r="L80" s="259">
        <v>18.3</v>
      </c>
      <c r="M80" s="259">
        <v>20.2</v>
      </c>
      <c r="N80" s="260"/>
      <c r="O80" s="261">
        <f>ROUNDUP(MIN(B79:M80),0)</f>
        <v>10</v>
      </c>
      <c r="P80" s="261" t="s">
        <v>856</v>
      </c>
      <c r="Q80" s="263"/>
    </row>
    <row r="81" spans="1:17" x14ac:dyDescent="0.25">
      <c r="A81" s="260"/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3"/>
      <c r="P81" s="263"/>
      <c r="Q81" s="263"/>
    </row>
    <row r="82" spans="1:17" x14ac:dyDescent="0.25">
      <c r="A82" s="260"/>
      <c r="B82" s="260"/>
      <c r="C82" s="264" t="s">
        <v>847</v>
      </c>
      <c r="D82" s="265" t="s">
        <v>845</v>
      </c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3"/>
      <c r="P82" s="263"/>
      <c r="Q82" s="263"/>
    </row>
    <row r="83" spans="1:17" x14ac:dyDescent="0.25">
      <c r="A83" s="258" t="s">
        <v>860</v>
      </c>
      <c r="B83" s="259">
        <v>30.2</v>
      </c>
      <c r="C83" s="259">
        <v>27.9</v>
      </c>
      <c r="D83" s="259">
        <v>25</v>
      </c>
      <c r="E83" s="259">
        <v>20.8</v>
      </c>
      <c r="F83" s="259">
        <v>16.399999999999999</v>
      </c>
      <c r="G83" s="259">
        <v>13.3</v>
      </c>
      <c r="H83" s="259">
        <v>12.7</v>
      </c>
      <c r="I83" s="259">
        <v>14.1</v>
      </c>
      <c r="J83" s="259">
        <v>17.899999999999999</v>
      </c>
      <c r="K83" s="259">
        <v>21.2</v>
      </c>
      <c r="L83" s="259">
        <v>24.7</v>
      </c>
      <c r="M83" s="259">
        <v>27.2</v>
      </c>
      <c r="N83" s="260"/>
      <c r="O83" s="261">
        <f>ROUND(J83,0)</f>
        <v>18</v>
      </c>
      <c r="P83" s="262" t="s">
        <v>857</v>
      </c>
      <c r="Q83" s="263"/>
    </row>
    <row r="84" spans="1:17" x14ac:dyDescent="0.25">
      <c r="A84" s="258" t="s">
        <v>861</v>
      </c>
      <c r="B84" s="259">
        <v>14.2</v>
      </c>
      <c r="C84" s="259">
        <v>13.4</v>
      </c>
      <c r="D84" s="259">
        <v>11.2</v>
      </c>
      <c r="E84" s="259">
        <v>6.9</v>
      </c>
      <c r="F84" s="259">
        <v>2.4</v>
      </c>
      <c r="G84" s="259">
        <v>1.1000000000000001</v>
      </c>
      <c r="H84" s="259">
        <v>0.1</v>
      </c>
      <c r="I84" s="259">
        <v>1</v>
      </c>
      <c r="J84" s="259">
        <v>3.2</v>
      </c>
      <c r="K84" s="259">
        <v>6.3</v>
      </c>
      <c r="L84" s="259">
        <v>9.6999999999999993</v>
      </c>
      <c r="M84" s="259">
        <v>11.9</v>
      </c>
      <c r="N84" s="260"/>
      <c r="O84" s="261">
        <f>ROUNDUP(MIN(B83:M84),0)</f>
        <v>1</v>
      </c>
      <c r="P84" s="261" t="s">
        <v>856</v>
      </c>
      <c r="Q84" s="263"/>
    </row>
    <row r="85" spans="1:17" x14ac:dyDescent="0.25">
      <c r="A85" s="260"/>
      <c r="B85" s="260"/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3"/>
      <c r="P85" s="263"/>
      <c r="Q85" s="263"/>
    </row>
    <row r="86" spans="1:17" x14ac:dyDescent="0.25">
      <c r="A86" s="260"/>
      <c r="B86" s="260"/>
      <c r="C86" s="264" t="s">
        <v>848</v>
      </c>
      <c r="D86" s="265" t="s">
        <v>845</v>
      </c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3"/>
      <c r="P86" s="263"/>
      <c r="Q86" s="263"/>
    </row>
    <row r="87" spans="1:17" x14ac:dyDescent="0.25">
      <c r="A87" s="258" t="s">
        <v>863</v>
      </c>
      <c r="B87" s="259">
        <v>31.8</v>
      </c>
      <c r="C87" s="259">
        <v>31.5</v>
      </c>
      <c r="D87" s="259">
        <v>32</v>
      </c>
      <c r="E87" s="259">
        <v>32.799999999999997</v>
      </c>
      <c r="F87" s="259">
        <v>32.1</v>
      </c>
      <c r="G87" s="259">
        <v>30.7</v>
      </c>
      <c r="H87" s="259">
        <v>30.7</v>
      </c>
      <c r="I87" s="259">
        <v>31.5</v>
      </c>
      <c r="J87" s="259">
        <v>32.700000000000003</v>
      </c>
      <c r="K87" s="259">
        <v>33.299999999999997</v>
      </c>
      <c r="L87" s="259">
        <v>33.4</v>
      </c>
      <c r="M87" s="259">
        <v>32.700000000000003</v>
      </c>
      <c r="N87" s="260"/>
      <c r="O87" s="261">
        <f>ROUND(J87,0)</f>
        <v>33</v>
      </c>
      <c r="P87" s="262" t="s">
        <v>857</v>
      </c>
      <c r="Q87" s="263"/>
    </row>
    <row r="88" spans="1:17" x14ac:dyDescent="0.25">
      <c r="A88" s="258" t="s">
        <v>864</v>
      </c>
      <c r="B88" s="259">
        <v>24.9</v>
      </c>
      <c r="C88" s="259">
        <v>24.8</v>
      </c>
      <c r="D88" s="259">
        <v>24.6</v>
      </c>
      <c r="E88" s="259">
        <v>24.1</v>
      </c>
      <c r="F88" s="259">
        <v>22.2</v>
      </c>
      <c r="G88" s="259">
        <v>20</v>
      </c>
      <c r="H88" s="259">
        <v>19.3</v>
      </c>
      <c r="I88" s="259">
        <v>20.3</v>
      </c>
      <c r="J88" s="259">
        <v>23</v>
      </c>
      <c r="K88" s="259">
        <v>24.9</v>
      </c>
      <c r="L88" s="259">
        <v>25.3</v>
      </c>
      <c r="M88" s="259">
        <v>25.3</v>
      </c>
      <c r="N88" s="260"/>
      <c r="O88" s="261">
        <f>ROUNDUP(MIN(B87:M88),0)</f>
        <v>20</v>
      </c>
      <c r="P88" s="261" t="s">
        <v>856</v>
      </c>
      <c r="Q88" s="263"/>
    </row>
    <row r="89" spans="1:17" x14ac:dyDescent="0.25">
      <c r="A89" s="260"/>
      <c r="B89" s="260"/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3"/>
      <c r="P89" s="263"/>
      <c r="Q89" s="263"/>
    </row>
    <row r="90" spans="1:17" x14ac:dyDescent="0.25">
      <c r="A90" s="260"/>
      <c r="B90" s="260"/>
      <c r="C90" s="264" t="s">
        <v>849</v>
      </c>
      <c r="D90" s="265" t="s">
        <v>845</v>
      </c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3"/>
      <c r="P90" s="263"/>
      <c r="Q90" s="263"/>
    </row>
    <row r="91" spans="1:17" x14ac:dyDescent="0.25">
      <c r="A91" s="258" t="s">
        <v>865</v>
      </c>
      <c r="B91" s="259">
        <v>22.7</v>
      </c>
      <c r="C91" s="259">
        <v>22.3</v>
      </c>
      <c r="D91" s="259">
        <v>20.9</v>
      </c>
      <c r="E91" s="259">
        <v>18.2</v>
      </c>
      <c r="F91" s="259">
        <v>15.3</v>
      </c>
      <c r="G91" s="259">
        <v>13</v>
      </c>
      <c r="H91" s="259">
        <v>12.6</v>
      </c>
      <c r="I91" s="259">
        <v>13.5</v>
      </c>
      <c r="J91" s="259">
        <v>15.5</v>
      </c>
      <c r="K91" s="259">
        <v>17.399999999999999</v>
      </c>
      <c r="L91" s="259">
        <v>19.100000000000001</v>
      </c>
      <c r="M91" s="259">
        <v>20.8</v>
      </c>
      <c r="N91" s="260"/>
      <c r="O91" s="261">
        <f>ROUND(J91,0)</f>
        <v>16</v>
      </c>
      <c r="P91" s="262" t="s">
        <v>857</v>
      </c>
      <c r="Q91" s="263"/>
    </row>
    <row r="92" spans="1:17" x14ac:dyDescent="0.25">
      <c r="A92" s="258" t="s">
        <v>866</v>
      </c>
      <c r="B92" s="259">
        <v>12.2</v>
      </c>
      <c r="C92" s="259">
        <v>12.1</v>
      </c>
      <c r="D92" s="259">
        <v>10.9</v>
      </c>
      <c r="E92" s="259">
        <v>8.8000000000000007</v>
      </c>
      <c r="F92" s="259">
        <v>6.7</v>
      </c>
      <c r="G92" s="259">
        <v>4.7</v>
      </c>
      <c r="H92" s="259">
        <v>4.2</v>
      </c>
      <c r="I92" s="259">
        <v>4.8</v>
      </c>
      <c r="J92" s="259">
        <v>6.1</v>
      </c>
      <c r="K92" s="259">
        <v>7.6</v>
      </c>
      <c r="L92" s="259">
        <v>9.3000000000000007</v>
      </c>
      <c r="M92" s="259">
        <v>10.9</v>
      </c>
      <c r="N92" s="260"/>
      <c r="O92" s="261">
        <f>ROUNDUP(MIN(B91:M92),0)</f>
        <v>5</v>
      </c>
      <c r="P92" s="261" t="s">
        <v>856</v>
      </c>
      <c r="Q92" s="263"/>
    </row>
    <row r="93" spans="1:17" x14ac:dyDescent="0.25">
      <c r="A93" s="260"/>
      <c r="B93" s="260"/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3"/>
      <c r="P93" s="263"/>
      <c r="Q93" s="263"/>
    </row>
    <row r="94" spans="1:17" x14ac:dyDescent="0.25">
      <c r="A94" s="260"/>
      <c r="B94" s="260"/>
      <c r="C94" s="264" t="s">
        <v>850</v>
      </c>
      <c r="D94" s="265" t="s">
        <v>845</v>
      </c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3"/>
      <c r="P94" s="263"/>
      <c r="Q94" s="263"/>
    </row>
    <row r="95" spans="1:17" x14ac:dyDescent="0.25">
      <c r="A95" s="258" t="s">
        <v>867</v>
      </c>
      <c r="B95" s="259">
        <v>26.7</v>
      </c>
      <c r="C95" s="259">
        <v>26.5</v>
      </c>
      <c r="D95" s="259">
        <v>25.4</v>
      </c>
      <c r="E95" s="259">
        <v>23</v>
      </c>
      <c r="F95" s="259">
        <v>20.2</v>
      </c>
      <c r="G95" s="259">
        <v>17.7</v>
      </c>
      <c r="H95" s="259">
        <v>17.2</v>
      </c>
      <c r="I95" s="259">
        <v>18.5</v>
      </c>
      <c r="J95" s="259">
        <v>20.7</v>
      </c>
      <c r="K95" s="259">
        <v>22.7</v>
      </c>
      <c r="L95" s="259">
        <v>24.2</v>
      </c>
      <c r="M95" s="259">
        <v>25.9</v>
      </c>
      <c r="N95" s="260"/>
      <c r="O95" s="261">
        <f>ROUND(J95,0)</f>
        <v>21</v>
      </c>
      <c r="P95" s="262" t="s">
        <v>857</v>
      </c>
      <c r="Q95" s="263"/>
    </row>
    <row r="96" spans="1:17" x14ac:dyDescent="0.25">
      <c r="A96" s="258" t="s">
        <v>868</v>
      </c>
      <c r="B96" s="259">
        <v>19</v>
      </c>
      <c r="C96" s="259">
        <v>19.2</v>
      </c>
      <c r="D96" s="259">
        <v>17.7</v>
      </c>
      <c r="E96" s="259">
        <v>14.4</v>
      </c>
      <c r="F96" s="259">
        <v>11.1</v>
      </c>
      <c r="G96" s="259">
        <v>8.8000000000000007</v>
      </c>
      <c r="H96" s="259">
        <v>7.4</v>
      </c>
      <c r="I96" s="259">
        <v>8.3000000000000007</v>
      </c>
      <c r="J96" s="259">
        <v>10.6</v>
      </c>
      <c r="K96" s="259">
        <v>13.4</v>
      </c>
      <c r="L96" s="259">
        <v>15.5</v>
      </c>
      <c r="M96" s="259">
        <v>17.600000000000001</v>
      </c>
      <c r="N96" s="260"/>
      <c r="O96" s="261">
        <f>ROUNDUP(MIN(B95:M96),0)</f>
        <v>8</v>
      </c>
      <c r="P96" s="261" t="s">
        <v>856</v>
      </c>
      <c r="Q96" s="263"/>
    </row>
    <row r="97" spans="1:17" x14ac:dyDescent="0.25">
      <c r="A97" s="260"/>
      <c r="B97" s="260"/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3"/>
      <c r="P97" s="263"/>
      <c r="Q97" s="263"/>
    </row>
    <row r="98" spans="1:17" x14ac:dyDescent="0.25">
      <c r="A98" s="260"/>
      <c r="B98" s="260"/>
      <c r="C98" s="264" t="s">
        <v>851</v>
      </c>
      <c r="D98" s="265" t="s">
        <v>845</v>
      </c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3"/>
      <c r="P98" s="263"/>
      <c r="Q98" s="263"/>
    </row>
    <row r="99" spans="1:17" x14ac:dyDescent="0.25">
      <c r="A99" s="258" t="s">
        <v>869</v>
      </c>
      <c r="B99" s="259">
        <v>26.7</v>
      </c>
      <c r="C99" s="259">
        <v>25.9</v>
      </c>
      <c r="D99" s="259">
        <v>24.1</v>
      </c>
      <c r="E99" s="259">
        <v>20.2</v>
      </c>
      <c r="F99" s="259">
        <v>16.399999999999999</v>
      </c>
      <c r="G99" s="259">
        <v>13.8</v>
      </c>
      <c r="H99" s="259">
        <v>13.2</v>
      </c>
      <c r="I99" s="259">
        <v>14.4</v>
      </c>
      <c r="J99" s="259">
        <v>16.899999999999999</v>
      </c>
      <c r="K99" s="259">
        <v>19.5</v>
      </c>
      <c r="L99" s="259">
        <v>21.9</v>
      </c>
      <c r="M99" s="259">
        <v>24.6</v>
      </c>
      <c r="N99" s="260"/>
      <c r="O99" s="261">
        <f>ROUND(J99,0)</f>
        <v>17</v>
      </c>
      <c r="P99" s="262" t="s">
        <v>857</v>
      </c>
      <c r="Q99" s="263"/>
    </row>
    <row r="100" spans="1:17" x14ac:dyDescent="0.25">
      <c r="A100" s="258" t="s">
        <v>870</v>
      </c>
      <c r="B100" s="259">
        <v>13.8</v>
      </c>
      <c r="C100" s="259">
        <v>14.1</v>
      </c>
      <c r="D100" s="259">
        <v>12.7</v>
      </c>
      <c r="E100" s="259">
        <v>10.1</v>
      </c>
      <c r="F100" s="259">
        <v>7.9</v>
      </c>
      <c r="G100" s="259">
        <v>6.1</v>
      </c>
      <c r="H100" s="259">
        <v>5.4</v>
      </c>
      <c r="I100" s="259">
        <v>5.8</v>
      </c>
      <c r="J100" s="259">
        <v>6.9</v>
      </c>
      <c r="K100" s="259">
        <v>8.4</v>
      </c>
      <c r="L100" s="259">
        <v>10.199999999999999</v>
      </c>
      <c r="M100" s="259">
        <v>12</v>
      </c>
      <c r="N100" s="260"/>
      <c r="O100" s="261">
        <f>ROUNDUP(MIN(B99:M100),0)</f>
        <v>6</v>
      </c>
      <c r="P100" s="261" t="s">
        <v>856</v>
      </c>
      <c r="Q100" s="263"/>
    </row>
    <row r="101" spans="1:17" x14ac:dyDescent="0.25">
      <c r="A101" s="260"/>
      <c r="B101" s="260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3"/>
      <c r="P101" s="263"/>
      <c r="Q101" s="263"/>
    </row>
    <row r="102" spans="1:17" x14ac:dyDescent="0.25">
      <c r="A102" s="260"/>
      <c r="B102" s="260"/>
      <c r="C102" s="264" t="s">
        <v>852</v>
      </c>
      <c r="D102" s="265" t="s">
        <v>845</v>
      </c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3"/>
      <c r="P102" s="263"/>
      <c r="Q102" s="263"/>
    </row>
    <row r="103" spans="1:17" x14ac:dyDescent="0.25">
      <c r="A103" s="258" t="s">
        <v>871</v>
      </c>
      <c r="B103" s="259">
        <v>28.2</v>
      </c>
      <c r="C103" s="259">
        <v>28</v>
      </c>
      <c r="D103" s="259">
        <v>25.5</v>
      </c>
      <c r="E103" s="259">
        <v>22.3</v>
      </c>
      <c r="F103" s="259">
        <v>18.600000000000001</v>
      </c>
      <c r="G103" s="259">
        <v>15.9</v>
      </c>
      <c r="H103" s="259">
        <v>15</v>
      </c>
      <c r="I103" s="259">
        <v>16</v>
      </c>
      <c r="J103" s="259">
        <v>18.3</v>
      </c>
      <c r="K103" s="259">
        <v>21.2</v>
      </c>
      <c r="L103" s="259">
        <v>24</v>
      </c>
      <c r="M103" s="259">
        <v>25.9</v>
      </c>
      <c r="N103" s="260"/>
      <c r="O103" s="261">
        <f>ROUND(J103,0)</f>
        <v>18</v>
      </c>
      <c r="P103" s="262" t="s">
        <v>857</v>
      </c>
      <c r="Q103" s="263"/>
    </row>
    <row r="104" spans="1:17" x14ac:dyDescent="0.25">
      <c r="A104" s="258" t="s">
        <v>872</v>
      </c>
      <c r="B104" s="259">
        <v>16.2</v>
      </c>
      <c r="C104" s="259">
        <v>16.2</v>
      </c>
      <c r="D104" s="259">
        <v>14.6</v>
      </c>
      <c r="E104" s="259">
        <v>11.9</v>
      </c>
      <c r="F104" s="259">
        <v>9.6999999999999993</v>
      </c>
      <c r="G104" s="259">
        <v>7.7</v>
      </c>
      <c r="H104" s="259">
        <v>7.1</v>
      </c>
      <c r="I104" s="259">
        <v>7.6</v>
      </c>
      <c r="J104" s="259">
        <v>9</v>
      </c>
      <c r="K104" s="259">
        <v>10.8</v>
      </c>
      <c r="L104" s="259">
        <v>12.9</v>
      </c>
      <c r="M104" s="259">
        <v>14.7</v>
      </c>
      <c r="N104" s="260"/>
      <c r="O104" s="261">
        <f>ROUNDUP(MIN(B103:M104),0)</f>
        <v>8</v>
      </c>
      <c r="P104" s="261" t="s">
        <v>856</v>
      </c>
      <c r="Q104" s="263"/>
    </row>
    <row r="105" spans="1:17" x14ac:dyDescent="0.25">
      <c r="A105" s="260"/>
      <c r="B105" s="260"/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3"/>
      <c r="P105" s="263"/>
      <c r="Q105" s="263"/>
    </row>
    <row r="106" spans="1:17" x14ac:dyDescent="0.25">
      <c r="A106" s="260"/>
      <c r="B106" s="260"/>
      <c r="C106" s="264" t="s">
        <v>853</v>
      </c>
      <c r="D106" s="265" t="s">
        <v>845</v>
      </c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3"/>
      <c r="P106" s="263"/>
      <c r="Q106" s="263"/>
    </row>
    <row r="107" spans="1:17" x14ac:dyDescent="0.25">
      <c r="A107" s="258" t="s">
        <v>873</v>
      </c>
      <c r="B107" s="259">
        <v>36.4</v>
      </c>
      <c r="C107" s="259">
        <v>35.200000000000003</v>
      </c>
      <c r="D107" s="259">
        <v>32.9</v>
      </c>
      <c r="E107" s="259">
        <v>28.4</v>
      </c>
      <c r="F107" s="259">
        <v>23.1</v>
      </c>
      <c r="G107" s="259">
        <v>19.899999999999999</v>
      </c>
      <c r="H107" s="259">
        <v>19.899999999999999</v>
      </c>
      <c r="I107" s="259">
        <v>22.8</v>
      </c>
      <c r="J107" s="259">
        <v>27.4</v>
      </c>
      <c r="K107" s="259">
        <v>31.2</v>
      </c>
      <c r="L107" s="259">
        <v>33.700000000000003</v>
      </c>
      <c r="M107" s="259">
        <v>35.5</v>
      </c>
      <c r="N107" s="260"/>
      <c r="O107" s="261">
        <f>ROUND(J107,0)</f>
        <v>27</v>
      </c>
      <c r="P107" s="262" t="s">
        <v>857</v>
      </c>
      <c r="Q107" s="263"/>
    </row>
    <row r="108" spans="1:17" x14ac:dyDescent="0.25">
      <c r="A108" s="258" t="s">
        <v>874</v>
      </c>
      <c r="B108" s="259">
        <v>21.6</v>
      </c>
      <c r="C108" s="259">
        <v>20.7</v>
      </c>
      <c r="D108" s="259">
        <v>17.600000000000001</v>
      </c>
      <c r="E108" s="259">
        <v>12.6</v>
      </c>
      <c r="F108" s="259">
        <v>8.1</v>
      </c>
      <c r="G108" s="259">
        <v>4.9000000000000004</v>
      </c>
      <c r="H108" s="259">
        <v>3.9</v>
      </c>
      <c r="I108" s="259">
        <v>5.9</v>
      </c>
      <c r="J108" s="259">
        <v>10.3</v>
      </c>
      <c r="K108" s="259">
        <v>14.8</v>
      </c>
      <c r="L108" s="259">
        <v>17.899999999999999</v>
      </c>
      <c r="M108" s="259">
        <v>20.3</v>
      </c>
      <c r="N108" s="260"/>
      <c r="O108" s="261">
        <f>ROUNDUP(MIN(B107:M108),0)</f>
        <v>4</v>
      </c>
      <c r="P108" s="261" t="s">
        <v>856</v>
      </c>
      <c r="Q108" s="263"/>
    </row>
    <row r="109" spans="1:17" x14ac:dyDescent="0.25">
      <c r="A109" s="260"/>
      <c r="B109" s="260"/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3"/>
      <c r="P109" s="263"/>
      <c r="Q109" s="263"/>
    </row>
    <row r="110" spans="1:17" x14ac:dyDescent="0.25">
      <c r="A110" s="260"/>
      <c r="B110" s="260"/>
      <c r="C110" s="264" t="s">
        <v>854</v>
      </c>
      <c r="D110" s="265" t="s">
        <v>845</v>
      </c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3"/>
      <c r="P110" s="263"/>
      <c r="Q110" s="263"/>
    </row>
    <row r="111" spans="1:17" x14ac:dyDescent="0.25">
      <c r="A111" s="258" t="s">
        <v>875</v>
      </c>
      <c r="B111" s="259">
        <v>31.8</v>
      </c>
      <c r="C111" s="259">
        <v>32</v>
      </c>
      <c r="D111" s="259">
        <v>29.8</v>
      </c>
      <c r="E111" s="259">
        <v>25.7</v>
      </c>
      <c r="F111" s="259">
        <v>21.8</v>
      </c>
      <c r="G111" s="259">
        <v>19</v>
      </c>
      <c r="H111" s="259">
        <v>18</v>
      </c>
      <c r="I111" s="259">
        <v>18.600000000000001</v>
      </c>
      <c r="J111" s="259">
        <v>20.3</v>
      </c>
      <c r="K111" s="259">
        <v>22.8</v>
      </c>
      <c r="L111" s="259">
        <v>26.1</v>
      </c>
      <c r="M111" s="259">
        <v>29.2</v>
      </c>
      <c r="N111" s="260"/>
      <c r="O111" s="261">
        <f>ROUND(J111,0)</f>
        <v>20</v>
      </c>
      <c r="P111" s="262" t="s">
        <v>857</v>
      </c>
      <c r="Q111" s="263"/>
    </row>
    <row r="112" spans="1:17" x14ac:dyDescent="0.25">
      <c r="A112" s="258" t="s">
        <v>876</v>
      </c>
      <c r="B112" s="259">
        <v>17.100000000000001</v>
      </c>
      <c r="C112" s="259">
        <v>17.600000000000001</v>
      </c>
      <c r="D112" s="259">
        <v>16</v>
      </c>
      <c r="E112" s="259">
        <v>13</v>
      </c>
      <c r="F112" s="259">
        <v>10.4</v>
      </c>
      <c r="G112" s="259">
        <v>9</v>
      </c>
      <c r="H112" s="259">
        <v>8.1</v>
      </c>
      <c r="I112" s="259">
        <v>8.1</v>
      </c>
      <c r="J112" s="259">
        <v>8.9</v>
      </c>
      <c r="K112" s="259">
        <v>10.3</v>
      </c>
      <c r="L112" s="259">
        <v>12.8</v>
      </c>
      <c r="M112" s="259">
        <v>15</v>
      </c>
      <c r="N112" s="260"/>
      <c r="O112" s="261">
        <f>ROUNDUP(MIN(B111:M112),0)</f>
        <v>9</v>
      </c>
      <c r="P112" s="261" t="s">
        <v>856</v>
      </c>
      <c r="Q112" s="263"/>
    </row>
    <row r="113" spans="1:17" x14ac:dyDescent="0.25">
      <c r="A113" s="260"/>
      <c r="B113" s="260"/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3"/>
      <c r="P113" s="263"/>
      <c r="Q113" s="263"/>
    </row>
    <row r="114" spans="1:17" x14ac:dyDescent="0.25">
      <c r="A114" s="260"/>
      <c r="B114" s="260"/>
      <c r="C114" s="264" t="s">
        <v>855</v>
      </c>
      <c r="D114" s="265" t="s">
        <v>845</v>
      </c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3"/>
      <c r="P114" s="263"/>
      <c r="Q114" s="263"/>
    </row>
    <row r="115" spans="1:17" x14ac:dyDescent="0.25">
      <c r="A115" s="258" t="s">
        <v>877</v>
      </c>
      <c r="B115" s="259">
        <v>31.5</v>
      </c>
      <c r="C115" s="259">
        <v>31.3</v>
      </c>
      <c r="D115" s="259">
        <v>30.6</v>
      </c>
      <c r="E115" s="259">
        <v>29.4</v>
      </c>
      <c r="F115" s="259">
        <v>27.7</v>
      </c>
      <c r="G115" s="259">
        <v>26.1</v>
      </c>
      <c r="H115" s="259">
        <v>25.8</v>
      </c>
      <c r="I115" s="259">
        <v>26.7</v>
      </c>
      <c r="J115" s="259">
        <v>28.2</v>
      </c>
      <c r="K115" s="259">
        <v>29.6</v>
      </c>
      <c r="L115" s="259">
        <v>30.8</v>
      </c>
      <c r="M115" s="259">
        <v>31.5</v>
      </c>
      <c r="N115" s="260"/>
      <c r="O115" s="261">
        <f>ROUND(J115,0)</f>
        <v>28</v>
      </c>
      <c r="P115" s="262" t="s">
        <v>857</v>
      </c>
      <c r="Q115" s="263"/>
    </row>
    <row r="116" spans="1:17" x14ac:dyDescent="0.25">
      <c r="A116" s="258" t="s">
        <v>878</v>
      </c>
      <c r="B116" s="259">
        <v>23.7</v>
      </c>
      <c r="C116" s="259">
        <v>23.8</v>
      </c>
      <c r="D116" s="259">
        <v>23.1</v>
      </c>
      <c r="E116" s="259">
        <v>21.7</v>
      </c>
      <c r="F116" s="259">
        <v>20</v>
      </c>
      <c r="G116" s="259">
        <v>18</v>
      </c>
      <c r="H116" s="259">
        <v>17.2</v>
      </c>
      <c r="I116" s="259">
        <v>17.399999999999999</v>
      </c>
      <c r="J116" s="259">
        <v>18.8</v>
      </c>
      <c r="K116" s="259">
        <v>20.7</v>
      </c>
      <c r="L116" s="259">
        <v>22.3</v>
      </c>
      <c r="M116" s="259">
        <v>23.4</v>
      </c>
      <c r="N116" s="260"/>
      <c r="O116" s="261">
        <f>ROUNDUP(MIN(B115:M116),0)</f>
        <v>18</v>
      </c>
      <c r="P116" s="261" t="s">
        <v>856</v>
      </c>
      <c r="Q116" s="263"/>
    </row>
    <row r="117" spans="1:17" x14ac:dyDescent="0.25">
      <c r="A117" s="260"/>
      <c r="B117" s="260"/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3"/>
      <c r="P117" s="263"/>
      <c r="Q117" s="263"/>
    </row>
  </sheetData>
  <sheetProtection algorithmName="SHA-512" hashValue="5ogakMJV71vDjrNB5RaWfWYJRw8/QqG9DMY3nivOEwO8hzHN1y07XcAeDCq5eYuuN/jIqJB9PkyfDx1hkEdi9A==" saltValue="R7SjKxAQNVkgVJ8z+drswQ==" spinCount="100000" sheet="1" objects="1" scenarios="1" selectLockedCells="1"/>
  <mergeCells count="41">
    <mergeCell ref="L49:M49"/>
    <mergeCell ref="B49:C49"/>
    <mergeCell ref="A28:A33"/>
    <mergeCell ref="B36:K37"/>
    <mergeCell ref="A9:A15"/>
    <mergeCell ref="A16:A27"/>
    <mergeCell ref="B42:C42"/>
    <mergeCell ref="B41:C41"/>
    <mergeCell ref="B43:C43"/>
    <mergeCell ref="O7:T7"/>
    <mergeCell ref="L43:M43"/>
    <mergeCell ref="B53:C53"/>
    <mergeCell ref="B54:C54"/>
    <mergeCell ref="L50:M50"/>
    <mergeCell ref="L51:M51"/>
    <mergeCell ref="L46:M46"/>
    <mergeCell ref="L52:M52"/>
    <mergeCell ref="L53:M53"/>
    <mergeCell ref="L41:M41"/>
    <mergeCell ref="L45:M45"/>
    <mergeCell ref="L42:M42"/>
    <mergeCell ref="L47:M47"/>
    <mergeCell ref="L48:M48"/>
    <mergeCell ref="B47:C47"/>
    <mergeCell ref="L54:M54"/>
    <mergeCell ref="B71:D72"/>
    <mergeCell ref="A58:B58"/>
    <mergeCell ref="B56:C56"/>
    <mergeCell ref="L56:M56"/>
    <mergeCell ref="B44:C44"/>
    <mergeCell ref="L44:M44"/>
    <mergeCell ref="L57:M57"/>
    <mergeCell ref="L55:M55"/>
    <mergeCell ref="B48:C48"/>
    <mergeCell ref="B50:C50"/>
    <mergeCell ref="B51:C51"/>
    <mergeCell ref="B46:C46"/>
    <mergeCell ref="B52:C52"/>
    <mergeCell ref="B57:C57"/>
    <mergeCell ref="B45:C45"/>
    <mergeCell ref="B55:C55"/>
  </mergeCells>
  <phoneticPr fontId="17" type="noConversion"/>
  <pageMargins left="0.23622047244094491" right="0.23622047244094491" top="0.74803149606299213" bottom="0.74803149606299213" header="0.31496062992125984" footer="0.31496062992125984"/>
  <pageSetup paperSize="9" scale="22" fitToHeight="0" orientation="portrait" r:id="rId1"/>
  <headerFooter>
    <oddFooter>Page &amp;P of &amp;N</oddFooter>
  </headerFooter>
  <ignoredErrors>
    <ignoredError sqref="L10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66686-607B-4BAF-8A97-F6DFBC800C65}">
  <sheetPr published="0">
    <tabColor theme="2" tint="-9.9978637043366805E-2"/>
  </sheetPr>
  <dimension ref="A1:L3"/>
  <sheetViews>
    <sheetView workbookViewId="0">
      <selection activeCell="K7" sqref="K7"/>
    </sheetView>
  </sheetViews>
  <sheetFormatPr defaultRowHeight="15" x14ac:dyDescent="0.25"/>
  <cols>
    <col min="1" max="1" width="6.28515625" style="275" customWidth="1"/>
    <col min="2" max="2" width="9.140625" style="175"/>
  </cols>
  <sheetData>
    <row r="1" spans="1:12" ht="15.75" x14ac:dyDescent="0.25">
      <c r="A1" s="272"/>
      <c r="B1" s="276" t="s">
        <v>906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x14ac:dyDescent="0.25">
      <c r="A2" s="273">
        <v>4</v>
      </c>
      <c r="B2" s="271" t="s">
        <v>908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x14ac:dyDescent="0.25">
      <c r="A3" s="274" t="s">
        <v>907</v>
      </c>
      <c r="B3" s="271" t="s">
        <v>928</v>
      </c>
      <c r="C3" s="4"/>
      <c r="D3" s="4"/>
      <c r="E3" s="4"/>
      <c r="F3" s="4"/>
      <c r="G3" s="4"/>
      <c r="H3" s="4"/>
      <c r="I3" s="4"/>
      <c r="J3" s="4"/>
      <c r="K3" s="4"/>
      <c r="L3" s="4"/>
    </row>
  </sheetData>
  <sheetProtection algorithmName="SHA-512" hashValue="iNOXB+yBYuk5vVE9IMW6mZmqsgMW+BPBd23mF9MUAHP74coIJ6nnFeKIGexHQ1HH35BYV8iPwSCcNq3j1Vpb1A==" saltValue="NdKoMHtELLKqV2UEbCjzi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16155-241B-4456-A92D-2D8377F70063}">
  <sheetPr>
    <pageSetUpPr fitToPage="1"/>
  </sheetPr>
  <dimension ref="A1:CT799"/>
  <sheetViews>
    <sheetView topLeftCell="H1" zoomScaleNormal="100" workbookViewId="0">
      <selection activeCell="K146" sqref="K146"/>
    </sheetView>
  </sheetViews>
  <sheetFormatPr defaultRowHeight="15" x14ac:dyDescent="0.25"/>
  <cols>
    <col min="1" max="1" width="9.140625" style="260" hidden="1" customWidth="1"/>
    <col min="2" max="2" width="30" style="260" hidden="1" customWidth="1"/>
    <col min="3" max="3" width="8.85546875" style="260" hidden="1" customWidth="1"/>
    <col min="4" max="4" width="9.85546875" style="260" hidden="1" customWidth="1"/>
    <col min="5" max="5" width="10.28515625" style="260" hidden="1" customWidth="1"/>
    <col min="6" max="6" width="34.5703125" style="277" hidden="1" customWidth="1"/>
    <col min="7" max="7" width="13" style="260" hidden="1" customWidth="1"/>
    <col min="8" max="11" width="9.140625" style="260" customWidth="1"/>
    <col min="12" max="12" width="10.140625" style="260" customWidth="1"/>
    <col min="13" max="13" width="9.140625" style="260" customWidth="1"/>
    <col min="14" max="14" width="9.5703125" style="260" customWidth="1"/>
    <col min="15" max="16" width="9.140625" style="260" customWidth="1"/>
    <col min="17" max="17" width="12.140625" style="260" customWidth="1"/>
    <col min="18" max="25" width="9.140625" style="260" customWidth="1"/>
    <col min="26" max="26" width="9.42578125" style="260" customWidth="1"/>
    <col min="27" max="29" width="9.140625" style="260" customWidth="1"/>
    <col min="30" max="30" width="18.85546875" style="260" customWidth="1"/>
    <col min="31" max="97" width="9.140625" style="260" customWidth="1"/>
    <col min="98" max="256" width="9.140625" style="260"/>
    <col min="257" max="257" width="9.140625" style="260" customWidth="1"/>
    <col min="258" max="258" width="23.140625" style="260" customWidth="1"/>
    <col min="259" max="259" width="8.85546875" style="260" customWidth="1"/>
    <col min="260" max="260" width="9.85546875" style="260" customWidth="1"/>
    <col min="261" max="261" width="10.28515625" style="260" bestFit="1" customWidth="1"/>
    <col min="262" max="262" width="34.5703125" style="260" customWidth="1"/>
    <col min="263" max="263" width="13" style="260" customWidth="1"/>
    <col min="264" max="267" width="9.140625" style="260"/>
    <col min="268" max="268" width="10.140625" style="260" bestFit="1" customWidth="1"/>
    <col min="269" max="512" width="9.140625" style="260"/>
    <col min="513" max="513" width="9.140625" style="260" customWidth="1"/>
    <col min="514" max="514" width="23.140625" style="260" customWidth="1"/>
    <col min="515" max="515" width="8.85546875" style="260" customWidth="1"/>
    <col min="516" max="516" width="9.85546875" style="260" customWidth="1"/>
    <col min="517" max="517" width="10.28515625" style="260" bestFit="1" customWidth="1"/>
    <col min="518" max="518" width="34.5703125" style="260" customWidth="1"/>
    <col min="519" max="519" width="13" style="260" customWidth="1"/>
    <col min="520" max="523" width="9.140625" style="260"/>
    <col min="524" max="524" width="10.140625" style="260" bestFit="1" customWidth="1"/>
    <col min="525" max="768" width="9.140625" style="260"/>
    <col min="769" max="769" width="9.140625" style="260" customWidth="1"/>
    <col min="770" max="770" width="23.140625" style="260" customWidth="1"/>
    <col min="771" max="771" width="8.85546875" style="260" customWidth="1"/>
    <col min="772" max="772" width="9.85546875" style="260" customWidth="1"/>
    <col min="773" max="773" width="10.28515625" style="260" bestFit="1" customWidth="1"/>
    <col min="774" max="774" width="34.5703125" style="260" customWidth="1"/>
    <col min="775" max="775" width="13" style="260" customWidth="1"/>
    <col min="776" max="779" width="9.140625" style="260"/>
    <col min="780" max="780" width="10.140625" style="260" bestFit="1" customWidth="1"/>
    <col min="781" max="1024" width="9.140625" style="260"/>
    <col min="1025" max="1025" width="9.140625" style="260" customWidth="1"/>
    <col min="1026" max="1026" width="23.140625" style="260" customWidth="1"/>
    <col min="1027" max="1027" width="8.85546875" style="260" customWidth="1"/>
    <col min="1028" max="1028" width="9.85546875" style="260" customWidth="1"/>
    <col min="1029" max="1029" width="10.28515625" style="260" bestFit="1" customWidth="1"/>
    <col min="1030" max="1030" width="34.5703125" style="260" customWidth="1"/>
    <col min="1031" max="1031" width="13" style="260" customWidth="1"/>
    <col min="1032" max="1035" width="9.140625" style="260"/>
    <col min="1036" max="1036" width="10.140625" style="260" bestFit="1" customWidth="1"/>
    <col min="1037" max="1280" width="9.140625" style="260"/>
    <col min="1281" max="1281" width="9.140625" style="260" customWidth="1"/>
    <col min="1282" max="1282" width="23.140625" style="260" customWidth="1"/>
    <col min="1283" max="1283" width="8.85546875" style="260" customWidth="1"/>
    <col min="1284" max="1284" width="9.85546875" style="260" customWidth="1"/>
    <col min="1285" max="1285" width="10.28515625" style="260" bestFit="1" customWidth="1"/>
    <col min="1286" max="1286" width="34.5703125" style="260" customWidth="1"/>
    <col min="1287" max="1287" width="13" style="260" customWidth="1"/>
    <col min="1288" max="1291" width="9.140625" style="260"/>
    <col min="1292" max="1292" width="10.140625" style="260" bestFit="1" customWidth="1"/>
    <col min="1293" max="1536" width="9.140625" style="260"/>
    <col min="1537" max="1537" width="9.140625" style="260" customWidth="1"/>
    <col min="1538" max="1538" width="23.140625" style="260" customWidth="1"/>
    <col min="1539" max="1539" width="8.85546875" style="260" customWidth="1"/>
    <col min="1540" max="1540" width="9.85546875" style="260" customWidth="1"/>
    <col min="1541" max="1541" width="10.28515625" style="260" bestFit="1" customWidth="1"/>
    <col min="1542" max="1542" width="34.5703125" style="260" customWidth="1"/>
    <col min="1543" max="1543" width="13" style="260" customWidth="1"/>
    <col min="1544" max="1547" width="9.140625" style="260"/>
    <col min="1548" max="1548" width="10.140625" style="260" bestFit="1" customWidth="1"/>
    <col min="1549" max="1792" width="9.140625" style="260"/>
    <col min="1793" max="1793" width="9.140625" style="260" customWidth="1"/>
    <col min="1794" max="1794" width="23.140625" style="260" customWidth="1"/>
    <col min="1795" max="1795" width="8.85546875" style="260" customWidth="1"/>
    <col min="1796" max="1796" width="9.85546875" style="260" customWidth="1"/>
    <col min="1797" max="1797" width="10.28515625" style="260" bestFit="1" customWidth="1"/>
    <col min="1798" max="1798" width="34.5703125" style="260" customWidth="1"/>
    <col min="1799" max="1799" width="13" style="260" customWidth="1"/>
    <col min="1800" max="1803" width="9.140625" style="260"/>
    <col min="1804" max="1804" width="10.140625" style="260" bestFit="1" customWidth="1"/>
    <col min="1805" max="2048" width="9.140625" style="260"/>
    <col min="2049" max="2049" width="9.140625" style="260" customWidth="1"/>
    <col min="2050" max="2050" width="23.140625" style="260" customWidth="1"/>
    <col min="2051" max="2051" width="8.85546875" style="260" customWidth="1"/>
    <col min="2052" max="2052" width="9.85546875" style="260" customWidth="1"/>
    <col min="2053" max="2053" width="10.28515625" style="260" bestFit="1" customWidth="1"/>
    <col min="2054" max="2054" width="34.5703125" style="260" customWidth="1"/>
    <col min="2055" max="2055" width="13" style="260" customWidth="1"/>
    <col min="2056" max="2059" width="9.140625" style="260"/>
    <col min="2060" max="2060" width="10.140625" style="260" bestFit="1" customWidth="1"/>
    <col min="2061" max="2304" width="9.140625" style="260"/>
    <col min="2305" max="2305" width="9.140625" style="260" customWidth="1"/>
    <col min="2306" max="2306" width="23.140625" style="260" customWidth="1"/>
    <col min="2307" max="2307" width="8.85546875" style="260" customWidth="1"/>
    <col min="2308" max="2308" width="9.85546875" style="260" customWidth="1"/>
    <col min="2309" max="2309" width="10.28515625" style="260" bestFit="1" customWidth="1"/>
    <col min="2310" max="2310" width="34.5703125" style="260" customWidth="1"/>
    <col min="2311" max="2311" width="13" style="260" customWidth="1"/>
    <col min="2312" max="2315" width="9.140625" style="260"/>
    <col min="2316" max="2316" width="10.140625" style="260" bestFit="1" customWidth="1"/>
    <col min="2317" max="2560" width="9.140625" style="260"/>
    <col min="2561" max="2561" width="9.140625" style="260" customWidth="1"/>
    <col min="2562" max="2562" width="23.140625" style="260" customWidth="1"/>
    <col min="2563" max="2563" width="8.85546875" style="260" customWidth="1"/>
    <col min="2564" max="2564" width="9.85546875" style="260" customWidth="1"/>
    <col min="2565" max="2565" width="10.28515625" style="260" bestFit="1" customWidth="1"/>
    <col min="2566" max="2566" width="34.5703125" style="260" customWidth="1"/>
    <col min="2567" max="2567" width="13" style="260" customWidth="1"/>
    <col min="2568" max="2571" width="9.140625" style="260"/>
    <col min="2572" max="2572" width="10.140625" style="260" bestFit="1" customWidth="1"/>
    <col min="2573" max="2816" width="9.140625" style="260"/>
    <col min="2817" max="2817" width="9.140625" style="260" customWidth="1"/>
    <col min="2818" max="2818" width="23.140625" style="260" customWidth="1"/>
    <col min="2819" max="2819" width="8.85546875" style="260" customWidth="1"/>
    <col min="2820" max="2820" width="9.85546875" style="260" customWidth="1"/>
    <col min="2821" max="2821" width="10.28515625" style="260" bestFit="1" customWidth="1"/>
    <col min="2822" max="2822" width="34.5703125" style="260" customWidth="1"/>
    <col min="2823" max="2823" width="13" style="260" customWidth="1"/>
    <col min="2824" max="2827" width="9.140625" style="260"/>
    <col min="2828" max="2828" width="10.140625" style="260" bestFit="1" customWidth="1"/>
    <col min="2829" max="3072" width="9.140625" style="260"/>
    <col min="3073" max="3073" width="9.140625" style="260" customWidth="1"/>
    <col min="3074" max="3074" width="23.140625" style="260" customWidth="1"/>
    <col min="3075" max="3075" width="8.85546875" style="260" customWidth="1"/>
    <col min="3076" max="3076" width="9.85546875" style="260" customWidth="1"/>
    <col min="3077" max="3077" width="10.28515625" style="260" bestFit="1" customWidth="1"/>
    <col min="3078" max="3078" width="34.5703125" style="260" customWidth="1"/>
    <col min="3079" max="3079" width="13" style="260" customWidth="1"/>
    <col min="3080" max="3083" width="9.140625" style="260"/>
    <col min="3084" max="3084" width="10.140625" style="260" bestFit="1" customWidth="1"/>
    <col min="3085" max="3328" width="9.140625" style="260"/>
    <col min="3329" max="3329" width="9.140625" style="260" customWidth="1"/>
    <col min="3330" max="3330" width="23.140625" style="260" customWidth="1"/>
    <col min="3331" max="3331" width="8.85546875" style="260" customWidth="1"/>
    <col min="3332" max="3332" width="9.85546875" style="260" customWidth="1"/>
    <col min="3333" max="3333" width="10.28515625" style="260" bestFit="1" customWidth="1"/>
    <col min="3334" max="3334" width="34.5703125" style="260" customWidth="1"/>
    <col min="3335" max="3335" width="13" style="260" customWidth="1"/>
    <col min="3336" max="3339" width="9.140625" style="260"/>
    <col min="3340" max="3340" width="10.140625" style="260" bestFit="1" customWidth="1"/>
    <col min="3341" max="3584" width="9.140625" style="260"/>
    <col min="3585" max="3585" width="9.140625" style="260" customWidth="1"/>
    <col min="3586" max="3586" width="23.140625" style="260" customWidth="1"/>
    <col min="3587" max="3587" width="8.85546875" style="260" customWidth="1"/>
    <col min="3588" max="3588" width="9.85546875" style="260" customWidth="1"/>
    <col min="3589" max="3589" width="10.28515625" style="260" bestFit="1" customWidth="1"/>
    <col min="3590" max="3590" width="34.5703125" style="260" customWidth="1"/>
    <col min="3591" max="3591" width="13" style="260" customWidth="1"/>
    <col min="3592" max="3595" width="9.140625" style="260"/>
    <col min="3596" max="3596" width="10.140625" style="260" bestFit="1" customWidth="1"/>
    <col min="3597" max="3840" width="9.140625" style="260"/>
    <col min="3841" max="3841" width="9.140625" style="260" customWidth="1"/>
    <col min="3842" max="3842" width="23.140625" style="260" customWidth="1"/>
    <col min="3843" max="3843" width="8.85546875" style="260" customWidth="1"/>
    <col min="3844" max="3844" width="9.85546875" style="260" customWidth="1"/>
    <col min="3845" max="3845" width="10.28515625" style="260" bestFit="1" customWidth="1"/>
    <col min="3846" max="3846" width="34.5703125" style="260" customWidth="1"/>
    <col min="3847" max="3847" width="13" style="260" customWidth="1"/>
    <col min="3848" max="3851" width="9.140625" style="260"/>
    <col min="3852" max="3852" width="10.140625" style="260" bestFit="1" customWidth="1"/>
    <col min="3853" max="4096" width="9.140625" style="260"/>
    <col min="4097" max="4097" width="9.140625" style="260" customWidth="1"/>
    <col min="4098" max="4098" width="23.140625" style="260" customWidth="1"/>
    <col min="4099" max="4099" width="8.85546875" style="260" customWidth="1"/>
    <col min="4100" max="4100" width="9.85546875" style="260" customWidth="1"/>
    <col min="4101" max="4101" width="10.28515625" style="260" bestFit="1" customWidth="1"/>
    <col min="4102" max="4102" width="34.5703125" style="260" customWidth="1"/>
    <col min="4103" max="4103" width="13" style="260" customWidth="1"/>
    <col min="4104" max="4107" width="9.140625" style="260"/>
    <col min="4108" max="4108" width="10.140625" style="260" bestFit="1" customWidth="1"/>
    <col min="4109" max="4352" width="9.140625" style="260"/>
    <col min="4353" max="4353" width="9.140625" style="260" customWidth="1"/>
    <col min="4354" max="4354" width="23.140625" style="260" customWidth="1"/>
    <col min="4355" max="4355" width="8.85546875" style="260" customWidth="1"/>
    <col min="4356" max="4356" width="9.85546875" style="260" customWidth="1"/>
    <col min="4357" max="4357" width="10.28515625" style="260" bestFit="1" customWidth="1"/>
    <col min="4358" max="4358" width="34.5703125" style="260" customWidth="1"/>
    <col min="4359" max="4359" width="13" style="260" customWidth="1"/>
    <col min="4360" max="4363" width="9.140625" style="260"/>
    <col min="4364" max="4364" width="10.140625" style="260" bestFit="1" customWidth="1"/>
    <col min="4365" max="4608" width="9.140625" style="260"/>
    <col min="4609" max="4609" width="9.140625" style="260" customWidth="1"/>
    <col min="4610" max="4610" width="23.140625" style="260" customWidth="1"/>
    <col min="4611" max="4611" width="8.85546875" style="260" customWidth="1"/>
    <col min="4612" max="4612" width="9.85546875" style="260" customWidth="1"/>
    <col min="4613" max="4613" width="10.28515625" style="260" bestFit="1" customWidth="1"/>
    <col min="4614" max="4614" width="34.5703125" style="260" customWidth="1"/>
    <col min="4615" max="4615" width="13" style="260" customWidth="1"/>
    <col min="4616" max="4619" width="9.140625" style="260"/>
    <col min="4620" max="4620" width="10.140625" style="260" bestFit="1" customWidth="1"/>
    <col min="4621" max="4864" width="9.140625" style="260"/>
    <col min="4865" max="4865" width="9.140625" style="260" customWidth="1"/>
    <col min="4866" max="4866" width="23.140625" style="260" customWidth="1"/>
    <col min="4867" max="4867" width="8.85546875" style="260" customWidth="1"/>
    <col min="4868" max="4868" width="9.85546875" style="260" customWidth="1"/>
    <col min="4869" max="4869" width="10.28515625" style="260" bestFit="1" customWidth="1"/>
    <col min="4870" max="4870" width="34.5703125" style="260" customWidth="1"/>
    <col min="4871" max="4871" width="13" style="260" customWidth="1"/>
    <col min="4872" max="4875" width="9.140625" style="260"/>
    <col min="4876" max="4876" width="10.140625" style="260" bestFit="1" customWidth="1"/>
    <col min="4877" max="5120" width="9.140625" style="260"/>
    <col min="5121" max="5121" width="9.140625" style="260" customWidth="1"/>
    <col min="5122" max="5122" width="23.140625" style="260" customWidth="1"/>
    <col min="5123" max="5123" width="8.85546875" style="260" customWidth="1"/>
    <col min="5124" max="5124" width="9.85546875" style="260" customWidth="1"/>
    <col min="5125" max="5125" width="10.28515625" style="260" bestFit="1" customWidth="1"/>
    <col min="5126" max="5126" width="34.5703125" style="260" customWidth="1"/>
    <col min="5127" max="5127" width="13" style="260" customWidth="1"/>
    <col min="5128" max="5131" width="9.140625" style="260"/>
    <col min="5132" max="5132" width="10.140625" style="260" bestFit="1" customWidth="1"/>
    <col min="5133" max="5376" width="9.140625" style="260"/>
    <col min="5377" max="5377" width="9.140625" style="260" customWidth="1"/>
    <col min="5378" max="5378" width="23.140625" style="260" customWidth="1"/>
    <col min="5379" max="5379" width="8.85546875" style="260" customWidth="1"/>
    <col min="5380" max="5380" width="9.85546875" style="260" customWidth="1"/>
    <col min="5381" max="5381" width="10.28515625" style="260" bestFit="1" customWidth="1"/>
    <col min="5382" max="5382" width="34.5703125" style="260" customWidth="1"/>
    <col min="5383" max="5383" width="13" style="260" customWidth="1"/>
    <col min="5384" max="5387" width="9.140625" style="260"/>
    <col min="5388" max="5388" width="10.140625" style="260" bestFit="1" customWidth="1"/>
    <col min="5389" max="5632" width="9.140625" style="260"/>
    <col min="5633" max="5633" width="9.140625" style="260" customWidth="1"/>
    <col min="5634" max="5634" width="23.140625" style="260" customWidth="1"/>
    <col min="5635" max="5635" width="8.85546875" style="260" customWidth="1"/>
    <col min="5636" max="5636" width="9.85546875" style="260" customWidth="1"/>
    <col min="5637" max="5637" width="10.28515625" style="260" bestFit="1" customWidth="1"/>
    <col min="5638" max="5638" width="34.5703125" style="260" customWidth="1"/>
    <col min="5639" max="5639" width="13" style="260" customWidth="1"/>
    <col min="5640" max="5643" width="9.140625" style="260"/>
    <col min="5644" max="5644" width="10.140625" style="260" bestFit="1" customWidth="1"/>
    <col min="5645" max="5888" width="9.140625" style="260"/>
    <col min="5889" max="5889" width="9.140625" style="260" customWidth="1"/>
    <col min="5890" max="5890" width="23.140625" style="260" customWidth="1"/>
    <col min="5891" max="5891" width="8.85546875" style="260" customWidth="1"/>
    <col min="5892" max="5892" width="9.85546875" style="260" customWidth="1"/>
    <col min="5893" max="5893" width="10.28515625" style="260" bestFit="1" customWidth="1"/>
    <col min="5894" max="5894" width="34.5703125" style="260" customWidth="1"/>
    <col min="5895" max="5895" width="13" style="260" customWidth="1"/>
    <col min="5896" max="5899" width="9.140625" style="260"/>
    <col min="5900" max="5900" width="10.140625" style="260" bestFit="1" customWidth="1"/>
    <col min="5901" max="6144" width="9.140625" style="260"/>
    <col min="6145" max="6145" width="9.140625" style="260" customWidth="1"/>
    <col min="6146" max="6146" width="23.140625" style="260" customWidth="1"/>
    <col min="6147" max="6147" width="8.85546875" style="260" customWidth="1"/>
    <col min="6148" max="6148" width="9.85546875" style="260" customWidth="1"/>
    <col min="6149" max="6149" width="10.28515625" style="260" bestFit="1" customWidth="1"/>
    <col min="6150" max="6150" width="34.5703125" style="260" customWidth="1"/>
    <col min="6151" max="6151" width="13" style="260" customWidth="1"/>
    <col min="6152" max="6155" width="9.140625" style="260"/>
    <col min="6156" max="6156" width="10.140625" style="260" bestFit="1" customWidth="1"/>
    <col min="6157" max="6400" width="9.140625" style="260"/>
    <col min="6401" max="6401" width="9.140625" style="260" customWidth="1"/>
    <col min="6402" max="6402" width="23.140625" style="260" customWidth="1"/>
    <col min="6403" max="6403" width="8.85546875" style="260" customWidth="1"/>
    <col min="6404" max="6404" width="9.85546875" style="260" customWidth="1"/>
    <col min="6405" max="6405" width="10.28515625" style="260" bestFit="1" customWidth="1"/>
    <col min="6406" max="6406" width="34.5703125" style="260" customWidth="1"/>
    <col min="6407" max="6407" width="13" style="260" customWidth="1"/>
    <col min="6408" max="6411" width="9.140625" style="260"/>
    <col min="6412" max="6412" width="10.140625" style="260" bestFit="1" customWidth="1"/>
    <col min="6413" max="6656" width="9.140625" style="260"/>
    <col min="6657" max="6657" width="9.140625" style="260" customWidth="1"/>
    <col min="6658" max="6658" width="23.140625" style="260" customWidth="1"/>
    <col min="6659" max="6659" width="8.85546875" style="260" customWidth="1"/>
    <col min="6660" max="6660" width="9.85546875" style="260" customWidth="1"/>
    <col min="6661" max="6661" width="10.28515625" style="260" bestFit="1" customWidth="1"/>
    <col min="6662" max="6662" width="34.5703125" style="260" customWidth="1"/>
    <col min="6663" max="6663" width="13" style="260" customWidth="1"/>
    <col min="6664" max="6667" width="9.140625" style="260"/>
    <col min="6668" max="6668" width="10.140625" style="260" bestFit="1" customWidth="1"/>
    <col min="6669" max="6912" width="9.140625" style="260"/>
    <col min="6913" max="6913" width="9.140625" style="260" customWidth="1"/>
    <col min="6914" max="6914" width="23.140625" style="260" customWidth="1"/>
    <col min="6915" max="6915" width="8.85546875" style="260" customWidth="1"/>
    <col min="6916" max="6916" width="9.85546875" style="260" customWidth="1"/>
    <col min="6917" max="6917" width="10.28515625" style="260" bestFit="1" customWidth="1"/>
    <col min="6918" max="6918" width="34.5703125" style="260" customWidth="1"/>
    <col min="6919" max="6919" width="13" style="260" customWidth="1"/>
    <col min="6920" max="6923" width="9.140625" style="260"/>
    <col min="6924" max="6924" width="10.140625" style="260" bestFit="1" customWidth="1"/>
    <col min="6925" max="7168" width="9.140625" style="260"/>
    <col min="7169" max="7169" width="9.140625" style="260" customWidth="1"/>
    <col min="7170" max="7170" width="23.140625" style="260" customWidth="1"/>
    <col min="7171" max="7171" width="8.85546875" style="260" customWidth="1"/>
    <col min="7172" max="7172" width="9.85546875" style="260" customWidth="1"/>
    <col min="7173" max="7173" width="10.28515625" style="260" bestFit="1" customWidth="1"/>
    <col min="7174" max="7174" width="34.5703125" style="260" customWidth="1"/>
    <col min="7175" max="7175" width="13" style="260" customWidth="1"/>
    <col min="7176" max="7179" width="9.140625" style="260"/>
    <col min="7180" max="7180" width="10.140625" style="260" bestFit="1" customWidth="1"/>
    <col min="7181" max="7424" width="9.140625" style="260"/>
    <col min="7425" max="7425" width="9.140625" style="260" customWidth="1"/>
    <col min="7426" max="7426" width="23.140625" style="260" customWidth="1"/>
    <col min="7427" max="7427" width="8.85546875" style="260" customWidth="1"/>
    <col min="7428" max="7428" width="9.85546875" style="260" customWidth="1"/>
    <col min="7429" max="7429" width="10.28515625" style="260" bestFit="1" customWidth="1"/>
    <col min="7430" max="7430" width="34.5703125" style="260" customWidth="1"/>
    <col min="7431" max="7431" width="13" style="260" customWidth="1"/>
    <col min="7432" max="7435" width="9.140625" style="260"/>
    <col min="7436" max="7436" width="10.140625" style="260" bestFit="1" customWidth="1"/>
    <col min="7437" max="7680" width="9.140625" style="260"/>
    <col min="7681" max="7681" width="9.140625" style="260" customWidth="1"/>
    <col min="7682" max="7682" width="23.140625" style="260" customWidth="1"/>
    <col min="7683" max="7683" width="8.85546875" style="260" customWidth="1"/>
    <col min="7684" max="7684" width="9.85546875" style="260" customWidth="1"/>
    <col min="7685" max="7685" width="10.28515625" style="260" bestFit="1" customWidth="1"/>
    <col min="7686" max="7686" width="34.5703125" style="260" customWidth="1"/>
    <col min="7687" max="7687" width="13" style="260" customWidth="1"/>
    <col min="7688" max="7691" width="9.140625" style="260"/>
    <col min="7692" max="7692" width="10.140625" style="260" bestFit="1" customWidth="1"/>
    <col min="7693" max="7936" width="9.140625" style="260"/>
    <col min="7937" max="7937" width="9.140625" style="260" customWidth="1"/>
    <col min="7938" max="7938" width="23.140625" style="260" customWidth="1"/>
    <col min="7939" max="7939" width="8.85546875" style="260" customWidth="1"/>
    <col min="7940" max="7940" width="9.85546875" style="260" customWidth="1"/>
    <col min="7941" max="7941" width="10.28515625" style="260" bestFit="1" customWidth="1"/>
    <col min="7942" max="7942" width="34.5703125" style="260" customWidth="1"/>
    <col min="7943" max="7943" width="13" style="260" customWidth="1"/>
    <col min="7944" max="7947" width="9.140625" style="260"/>
    <col min="7948" max="7948" width="10.140625" style="260" bestFit="1" customWidth="1"/>
    <col min="7949" max="8192" width="9.140625" style="260"/>
    <col min="8193" max="8193" width="9.140625" style="260" customWidth="1"/>
    <col min="8194" max="8194" width="23.140625" style="260" customWidth="1"/>
    <col min="8195" max="8195" width="8.85546875" style="260" customWidth="1"/>
    <col min="8196" max="8196" width="9.85546875" style="260" customWidth="1"/>
    <col min="8197" max="8197" width="10.28515625" style="260" bestFit="1" customWidth="1"/>
    <col min="8198" max="8198" width="34.5703125" style="260" customWidth="1"/>
    <col min="8199" max="8199" width="13" style="260" customWidth="1"/>
    <col min="8200" max="8203" width="9.140625" style="260"/>
    <col min="8204" max="8204" width="10.140625" style="260" bestFit="1" customWidth="1"/>
    <col min="8205" max="8448" width="9.140625" style="260"/>
    <col min="8449" max="8449" width="9.140625" style="260" customWidth="1"/>
    <col min="8450" max="8450" width="23.140625" style="260" customWidth="1"/>
    <col min="8451" max="8451" width="8.85546875" style="260" customWidth="1"/>
    <col min="8452" max="8452" width="9.85546875" style="260" customWidth="1"/>
    <col min="8453" max="8453" width="10.28515625" style="260" bestFit="1" customWidth="1"/>
    <col min="8454" max="8454" width="34.5703125" style="260" customWidth="1"/>
    <col min="8455" max="8455" width="13" style="260" customWidth="1"/>
    <col min="8456" max="8459" width="9.140625" style="260"/>
    <col min="8460" max="8460" width="10.140625" style="260" bestFit="1" customWidth="1"/>
    <col min="8461" max="8704" width="9.140625" style="260"/>
    <col min="8705" max="8705" width="9.140625" style="260" customWidth="1"/>
    <col min="8706" max="8706" width="23.140625" style="260" customWidth="1"/>
    <col min="8707" max="8707" width="8.85546875" style="260" customWidth="1"/>
    <col min="8708" max="8708" width="9.85546875" style="260" customWidth="1"/>
    <col min="8709" max="8709" width="10.28515625" style="260" bestFit="1" customWidth="1"/>
    <col min="8710" max="8710" width="34.5703125" style="260" customWidth="1"/>
    <col min="8711" max="8711" width="13" style="260" customWidth="1"/>
    <col min="8712" max="8715" width="9.140625" style="260"/>
    <col min="8716" max="8716" width="10.140625" style="260" bestFit="1" customWidth="1"/>
    <col min="8717" max="8960" width="9.140625" style="260"/>
    <col min="8961" max="8961" width="9.140625" style="260" customWidth="1"/>
    <col min="8962" max="8962" width="23.140625" style="260" customWidth="1"/>
    <col min="8963" max="8963" width="8.85546875" style="260" customWidth="1"/>
    <col min="8964" max="8964" width="9.85546875" style="260" customWidth="1"/>
    <col min="8965" max="8965" width="10.28515625" style="260" bestFit="1" customWidth="1"/>
    <col min="8966" max="8966" width="34.5703125" style="260" customWidth="1"/>
    <col min="8967" max="8967" width="13" style="260" customWidth="1"/>
    <col min="8968" max="8971" width="9.140625" style="260"/>
    <col min="8972" max="8972" width="10.140625" style="260" bestFit="1" customWidth="1"/>
    <col min="8973" max="9216" width="9.140625" style="260"/>
    <col min="9217" max="9217" width="9.140625" style="260" customWidth="1"/>
    <col min="9218" max="9218" width="23.140625" style="260" customWidth="1"/>
    <col min="9219" max="9219" width="8.85546875" style="260" customWidth="1"/>
    <col min="9220" max="9220" width="9.85546875" style="260" customWidth="1"/>
    <col min="9221" max="9221" width="10.28515625" style="260" bestFit="1" customWidth="1"/>
    <col min="9222" max="9222" width="34.5703125" style="260" customWidth="1"/>
    <col min="9223" max="9223" width="13" style="260" customWidth="1"/>
    <col min="9224" max="9227" width="9.140625" style="260"/>
    <col min="9228" max="9228" width="10.140625" style="260" bestFit="1" customWidth="1"/>
    <col min="9229" max="9472" width="9.140625" style="260"/>
    <col min="9473" max="9473" width="9.140625" style="260" customWidth="1"/>
    <col min="9474" max="9474" width="23.140625" style="260" customWidth="1"/>
    <col min="9475" max="9475" width="8.85546875" style="260" customWidth="1"/>
    <col min="9476" max="9476" width="9.85546875" style="260" customWidth="1"/>
    <col min="9477" max="9477" width="10.28515625" style="260" bestFit="1" customWidth="1"/>
    <col min="9478" max="9478" width="34.5703125" style="260" customWidth="1"/>
    <col min="9479" max="9479" width="13" style="260" customWidth="1"/>
    <col min="9480" max="9483" width="9.140625" style="260"/>
    <col min="9484" max="9484" width="10.140625" style="260" bestFit="1" customWidth="1"/>
    <col min="9485" max="9728" width="9.140625" style="260"/>
    <col min="9729" max="9729" width="9.140625" style="260" customWidth="1"/>
    <col min="9730" max="9730" width="23.140625" style="260" customWidth="1"/>
    <col min="9731" max="9731" width="8.85546875" style="260" customWidth="1"/>
    <col min="9732" max="9732" width="9.85546875" style="260" customWidth="1"/>
    <col min="9733" max="9733" width="10.28515625" style="260" bestFit="1" customWidth="1"/>
    <col min="9734" max="9734" width="34.5703125" style="260" customWidth="1"/>
    <col min="9735" max="9735" width="13" style="260" customWidth="1"/>
    <col min="9736" max="9739" width="9.140625" style="260"/>
    <col min="9740" max="9740" width="10.140625" style="260" bestFit="1" customWidth="1"/>
    <col min="9741" max="9984" width="9.140625" style="260"/>
    <col min="9985" max="9985" width="9.140625" style="260" customWidth="1"/>
    <col min="9986" max="9986" width="23.140625" style="260" customWidth="1"/>
    <col min="9987" max="9987" width="8.85546875" style="260" customWidth="1"/>
    <col min="9988" max="9988" width="9.85546875" style="260" customWidth="1"/>
    <col min="9989" max="9989" width="10.28515625" style="260" bestFit="1" customWidth="1"/>
    <col min="9990" max="9990" width="34.5703125" style="260" customWidth="1"/>
    <col min="9991" max="9991" width="13" style="260" customWidth="1"/>
    <col min="9992" max="9995" width="9.140625" style="260"/>
    <col min="9996" max="9996" width="10.140625" style="260" bestFit="1" customWidth="1"/>
    <col min="9997" max="10240" width="9.140625" style="260"/>
    <col min="10241" max="10241" width="9.140625" style="260" customWidth="1"/>
    <col min="10242" max="10242" width="23.140625" style="260" customWidth="1"/>
    <col min="10243" max="10243" width="8.85546875" style="260" customWidth="1"/>
    <col min="10244" max="10244" width="9.85546875" style="260" customWidth="1"/>
    <col min="10245" max="10245" width="10.28515625" style="260" bestFit="1" customWidth="1"/>
    <col min="10246" max="10246" width="34.5703125" style="260" customWidth="1"/>
    <col min="10247" max="10247" width="13" style="260" customWidth="1"/>
    <col min="10248" max="10251" width="9.140625" style="260"/>
    <col min="10252" max="10252" width="10.140625" style="260" bestFit="1" customWidth="1"/>
    <col min="10253" max="10496" width="9.140625" style="260"/>
    <col min="10497" max="10497" width="9.140625" style="260" customWidth="1"/>
    <col min="10498" max="10498" width="23.140625" style="260" customWidth="1"/>
    <col min="10499" max="10499" width="8.85546875" style="260" customWidth="1"/>
    <col min="10500" max="10500" width="9.85546875" style="260" customWidth="1"/>
    <col min="10501" max="10501" width="10.28515625" style="260" bestFit="1" customWidth="1"/>
    <col min="10502" max="10502" width="34.5703125" style="260" customWidth="1"/>
    <col min="10503" max="10503" width="13" style="260" customWidth="1"/>
    <col min="10504" max="10507" width="9.140625" style="260"/>
    <col min="10508" max="10508" width="10.140625" style="260" bestFit="1" customWidth="1"/>
    <col min="10509" max="10752" width="9.140625" style="260"/>
    <col min="10753" max="10753" width="9.140625" style="260" customWidth="1"/>
    <col min="10754" max="10754" width="23.140625" style="260" customWidth="1"/>
    <col min="10755" max="10755" width="8.85546875" style="260" customWidth="1"/>
    <col min="10756" max="10756" width="9.85546875" style="260" customWidth="1"/>
    <col min="10757" max="10757" width="10.28515625" style="260" bestFit="1" customWidth="1"/>
    <col min="10758" max="10758" width="34.5703125" style="260" customWidth="1"/>
    <col min="10759" max="10759" width="13" style="260" customWidth="1"/>
    <col min="10760" max="10763" width="9.140625" style="260"/>
    <col min="10764" max="10764" width="10.140625" style="260" bestFit="1" customWidth="1"/>
    <col min="10765" max="11008" width="9.140625" style="260"/>
    <col min="11009" max="11009" width="9.140625" style="260" customWidth="1"/>
    <col min="11010" max="11010" width="23.140625" style="260" customWidth="1"/>
    <col min="11011" max="11011" width="8.85546875" style="260" customWidth="1"/>
    <col min="11012" max="11012" width="9.85546875" style="260" customWidth="1"/>
    <col min="11013" max="11013" width="10.28515625" style="260" bestFit="1" customWidth="1"/>
    <col min="11014" max="11014" width="34.5703125" style="260" customWidth="1"/>
    <col min="11015" max="11015" width="13" style="260" customWidth="1"/>
    <col min="11016" max="11019" width="9.140625" style="260"/>
    <col min="11020" max="11020" width="10.140625" style="260" bestFit="1" customWidth="1"/>
    <col min="11021" max="11264" width="9.140625" style="260"/>
    <col min="11265" max="11265" width="9.140625" style="260" customWidth="1"/>
    <col min="11266" max="11266" width="23.140625" style="260" customWidth="1"/>
    <col min="11267" max="11267" width="8.85546875" style="260" customWidth="1"/>
    <col min="11268" max="11268" width="9.85546875" style="260" customWidth="1"/>
    <col min="11269" max="11269" width="10.28515625" style="260" bestFit="1" customWidth="1"/>
    <col min="11270" max="11270" width="34.5703125" style="260" customWidth="1"/>
    <col min="11271" max="11271" width="13" style="260" customWidth="1"/>
    <col min="11272" max="11275" width="9.140625" style="260"/>
    <col min="11276" max="11276" width="10.140625" style="260" bestFit="1" customWidth="1"/>
    <col min="11277" max="11520" width="9.140625" style="260"/>
    <col min="11521" max="11521" width="9.140625" style="260" customWidth="1"/>
    <col min="11522" max="11522" width="23.140625" style="260" customWidth="1"/>
    <col min="11523" max="11523" width="8.85546875" style="260" customWidth="1"/>
    <col min="11524" max="11524" width="9.85546875" style="260" customWidth="1"/>
    <col min="11525" max="11525" width="10.28515625" style="260" bestFit="1" customWidth="1"/>
    <col min="11526" max="11526" width="34.5703125" style="260" customWidth="1"/>
    <col min="11527" max="11527" width="13" style="260" customWidth="1"/>
    <col min="11528" max="11531" width="9.140625" style="260"/>
    <col min="11532" max="11532" width="10.140625" style="260" bestFit="1" customWidth="1"/>
    <col min="11533" max="11776" width="9.140625" style="260"/>
    <col min="11777" max="11777" width="9.140625" style="260" customWidth="1"/>
    <col min="11778" max="11778" width="23.140625" style="260" customWidth="1"/>
    <col min="11779" max="11779" width="8.85546875" style="260" customWidth="1"/>
    <col min="11780" max="11780" width="9.85546875" style="260" customWidth="1"/>
    <col min="11781" max="11781" width="10.28515625" style="260" bestFit="1" customWidth="1"/>
    <col min="11782" max="11782" width="34.5703125" style="260" customWidth="1"/>
    <col min="11783" max="11783" width="13" style="260" customWidth="1"/>
    <col min="11784" max="11787" width="9.140625" style="260"/>
    <col min="11788" max="11788" width="10.140625" style="260" bestFit="1" customWidth="1"/>
    <col min="11789" max="12032" width="9.140625" style="260"/>
    <col min="12033" max="12033" width="9.140625" style="260" customWidth="1"/>
    <col min="12034" max="12034" width="23.140625" style="260" customWidth="1"/>
    <col min="12035" max="12035" width="8.85546875" style="260" customWidth="1"/>
    <col min="12036" max="12036" width="9.85546875" style="260" customWidth="1"/>
    <col min="12037" max="12037" width="10.28515625" style="260" bestFit="1" customWidth="1"/>
    <col min="12038" max="12038" width="34.5703125" style="260" customWidth="1"/>
    <col min="12039" max="12039" width="13" style="260" customWidth="1"/>
    <col min="12040" max="12043" width="9.140625" style="260"/>
    <col min="12044" max="12044" width="10.140625" style="260" bestFit="1" customWidth="1"/>
    <col min="12045" max="12288" width="9.140625" style="260"/>
    <col min="12289" max="12289" width="9.140625" style="260" customWidth="1"/>
    <col min="12290" max="12290" width="23.140625" style="260" customWidth="1"/>
    <col min="12291" max="12291" width="8.85546875" style="260" customWidth="1"/>
    <col min="12292" max="12292" width="9.85546875" style="260" customWidth="1"/>
    <col min="12293" max="12293" width="10.28515625" style="260" bestFit="1" customWidth="1"/>
    <col min="12294" max="12294" width="34.5703125" style="260" customWidth="1"/>
    <col min="12295" max="12295" width="13" style="260" customWidth="1"/>
    <col min="12296" max="12299" width="9.140625" style="260"/>
    <col min="12300" max="12300" width="10.140625" style="260" bestFit="1" customWidth="1"/>
    <col min="12301" max="12544" width="9.140625" style="260"/>
    <col min="12545" max="12545" width="9.140625" style="260" customWidth="1"/>
    <col min="12546" max="12546" width="23.140625" style="260" customWidth="1"/>
    <col min="12547" max="12547" width="8.85546875" style="260" customWidth="1"/>
    <col min="12548" max="12548" width="9.85546875" style="260" customWidth="1"/>
    <col min="12549" max="12549" width="10.28515625" style="260" bestFit="1" customWidth="1"/>
    <col min="12550" max="12550" width="34.5703125" style="260" customWidth="1"/>
    <col min="12551" max="12551" width="13" style="260" customWidth="1"/>
    <col min="12552" max="12555" width="9.140625" style="260"/>
    <col min="12556" max="12556" width="10.140625" style="260" bestFit="1" customWidth="1"/>
    <col min="12557" max="12800" width="9.140625" style="260"/>
    <col min="12801" max="12801" width="9.140625" style="260" customWidth="1"/>
    <col min="12802" max="12802" width="23.140625" style="260" customWidth="1"/>
    <col min="12803" max="12803" width="8.85546875" style="260" customWidth="1"/>
    <col min="12804" max="12804" width="9.85546875" style="260" customWidth="1"/>
    <col min="12805" max="12805" width="10.28515625" style="260" bestFit="1" customWidth="1"/>
    <col min="12806" max="12806" width="34.5703125" style="260" customWidth="1"/>
    <col min="12807" max="12807" width="13" style="260" customWidth="1"/>
    <col min="12808" max="12811" width="9.140625" style="260"/>
    <col min="12812" max="12812" width="10.140625" style="260" bestFit="1" customWidth="1"/>
    <col min="12813" max="13056" width="9.140625" style="260"/>
    <col min="13057" max="13057" width="9.140625" style="260" customWidth="1"/>
    <col min="13058" max="13058" width="23.140625" style="260" customWidth="1"/>
    <col min="13059" max="13059" width="8.85546875" style="260" customWidth="1"/>
    <col min="13060" max="13060" width="9.85546875" style="260" customWidth="1"/>
    <col min="13061" max="13061" width="10.28515625" style="260" bestFit="1" customWidth="1"/>
    <col min="13062" max="13062" width="34.5703125" style="260" customWidth="1"/>
    <col min="13063" max="13063" width="13" style="260" customWidth="1"/>
    <col min="13064" max="13067" width="9.140625" style="260"/>
    <col min="13068" max="13068" width="10.140625" style="260" bestFit="1" customWidth="1"/>
    <col min="13069" max="13312" width="9.140625" style="260"/>
    <col min="13313" max="13313" width="9.140625" style="260" customWidth="1"/>
    <col min="13314" max="13314" width="23.140625" style="260" customWidth="1"/>
    <col min="13315" max="13315" width="8.85546875" style="260" customWidth="1"/>
    <col min="13316" max="13316" width="9.85546875" style="260" customWidth="1"/>
    <col min="13317" max="13317" width="10.28515625" style="260" bestFit="1" customWidth="1"/>
    <col min="13318" max="13318" width="34.5703125" style="260" customWidth="1"/>
    <col min="13319" max="13319" width="13" style="260" customWidth="1"/>
    <col min="13320" max="13323" width="9.140625" style="260"/>
    <col min="13324" max="13324" width="10.140625" style="260" bestFit="1" customWidth="1"/>
    <col min="13325" max="13568" width="9.140625" style="260"/>
    <col min="13569" max="13569" width="9.140625" style="260" customWidth="1"/>
    <col min="13570" max="13570" width="23.140625" style="260" customWidth="1"/>
    <col min="13571" max="13571" width="8.85546875" style="260" customWidth="1"/>
    <col min="13572" max="13572" width="9.85546875" style="260" customWidth="1"/>
    <col min="13573" max="13573" width="10.28515625" style="260" bestFit="1" customWidth="1"/>
    <col min="13574" max="13574" width="34.5703125" style="260" customWidth="1"/>
    <col min="13575" max="13575" width="13" style="260" customWidth="1"/>
    <col min="13576" max="13579" width="9.140625" style="260"/>
    <col min="13580" max="13580" width="10.140625" style="260" bestFit="1" customWidth="1"/>
    <col min="13581" max="13824" width="9.140625" style="260"/>
    <col min="13825" max="13825" width="9.140625" style="260" customWidth="1"/>
    <col min="13826" max="13826" width="23.140625" style="260" customWidth="1"/>
    <col min="13827" max="13827" width="8.85546875" style="260" customWidth="1"/>
    <col min="13828" max="13828" width="9.85546875" style="260" customWidth="1"/>
    <col min="13829" max="13829" width="10.28515625" style="260" bestFit="1" customWidth="1"/>
    <col min="13830" max="13830" width="34.5703125" style="260" customWidth="1"/>
    <col min="13831" max="13831" width="13" style="260" customWidth="1"/>
    <col min="13832" max="13835" width="9.140625" style="260"/>
    <col min="13836" max="13836" width="10.140625" style="260" bestFit="1" customWidth="1"/>
    <col min="13837" max="14080" width="9.140625" style="260"/>
    <col min="14081" max="14081" width="9.140625" style="260" customWidth="1"/>
    <col min="14082" max="14082" width="23.140625" style="260" customWidth="1"/>
    <col min="14083" max="14083" width="8.85546875" style="260" customWidth="1"/>
    <col min="14084" max="14084" width="9.85546875" style="260" customWidth="1"/>
    <col min="14085" max="14085" width="10.28515625" style="260" bestFit="1" customWidth="1"/>
    <col min="14086" max="14086" width="34.5703125" style="260" customWidth="1"/>
    <col min="14087" max="14087" width="13" style="260" customWidth="1"/>
    <col min="14088" max="14091" width="9.140625" style="260"/>
    <col min="14092" max="14092" width="10.140625" style="260" bestFit="1" customWidth="1"/>
    <col min="14093" max="14336" width="9.140625" style="260"/>
    <col min="14337" max="14337" width="9.140625" style="260" customWidth="1"/>
    <col min="14338" max="14338" width="23.140625" style="260" customWidth="1"/>
    <col min="14339" max="14339" width="8.85546875" style="260" customWidth="1"/>
    <col min="14340" max="14340" width="9.85546875" style="260" customWidth="1"/>
    <col min="14341" max="14341" width="10.28515625" style="260" bestFit="1" customWidth="1"/>
    <col min="14342" max="14342" width="34.5703125" style="260" customWidth="1"/>
    <col min="14343" max="14343" width="13" style="260" customWidth="1"/>
    <col min="14344" max="14347" width="9.140625" style="260"/>
    <col min="14348" max="14348" width="10.140625" style="260" bestFit="1" customWidth="1"/>
    <col min="14349" max="14592" width="9.140625" style="260"/>
    <col min="14593" max="14593" width="9.140625" style="260" customWidth="1"/>
    <col min="14594" max="14594" width="23.140625" style="260" customWidth="1"/>
    <col min="14595" max="14595" width="8.85546875" style="260" customWidth="1"/>
    <col min="14596" max="14596" width="9.85546875" style="260" customWidth="1"/>
    <col min="14597" max="14597" width="10.28515625" style="260" bestFit="1" customWidth="1"/>
    <col min="14598" max="14598" width="34.5703125" style="260" customWidth="1"/>
    <col min="14599" max="14599" width="13" style="260" customWidth="1"/>
    <col min="14600" max="14603" width="9.140625" style="260"/>
    <col min="14604" max="14604" width="10.140625" style="260" bestFit="1" customWidth="1"/>
    <col min="14605" max="14848" width="9.140625" style="260"/>
    <col min="14849" max="14849" width="9.140625" style="260" customWidth="1"/>
    <col min="14850" max="14850" width="23.140625" style="260" customWidth="1"/>
    <col min="14851" max="14851" width="8.85546875" style="260" customWidth="1"/>
    <col min="14852" max="14852" width="9.85546875" style="260" customWidth="1"/>
    <col min="14853" max="14853" width="10.28515625" style="260" bestFit="1" customWidth="1"/>
    <col min="14854" max="14854" width="34.5703125" style="260" customWidth="1"/>
    <col min="14855" max="14855" width="13" style="260" customWidth="1"/>
    <col min="14856" max="14859" width="9.140625" style="260"/>
    <col min="14860" max="14860" width="10.140625" style="260" bestFit="1" customWidth="1"/>
    <col min="14861" max="15104" width="9.140625" style="260"/>
    <col min="15105" max="15105" width="9.140625" style="260" customWidth="1"/>
    <col min="15106" max="15106" width="23.140625" style="260" customWidth="1"/>
    <col min="15107" max="15107" width="8.85546875" style="260" customWidth="1"/>
    <col min="15108" max="15108" width="9.85546875" style="260" customWidth="1"/>
    <col min="15109" max="15109" width="10.28515625" style="260" bestFit="1" customWidth="1"/>
    <col min="15110" max="15110" width="34.5703125" style="260" customWidth="1"/>
    <col min="15111" max="15111" width="13" style="260" customWidth="1"/>
    <col min="15112" max="15115" width="9.140625" style="260"/>
    <col min="15116" max="15116" width="10.140625" style="260" bestFit="1" customWidth="1"/>
    <col min="15117" max="15360" width="9.140625" style="260"/>
    <col min="15361" max="15361" width="9.140625" style="260" customWidth="1"/>
    <col min="15362" max="15362" width="23.140625" style="260" customWidth="1"/>
    <col min="15363" max="15363" width="8.85546875" style="260" customWidth="1"/>
    <col min="15364" max="15364" width="9.85546875" style="260" customWidth="1"/>
    <col min="15365" max="15365" width="10.28515625" style="260" bestFit="1" customWidth="1"/>
    <col min="15366" max="15366" width="34.5703125" style="260" customWidth="1"/>
    <col min="15367" max="15367" width="13" style="260" customWidth="1"/>
    <col min="15368" max="15371" width="9.140625" style="260"/>
    <col min="15372" max="15372" width="10.140625" style="260" bestFit="1" customWidth="1"/>
    <col min="15373" max="15616" width="9.140625" style="260"/>
    <col min="15617" max="15617" width="9.140625" style="260" customWidth="1"/>
    <col min="15618" max="15618" width="23.140625" style="260" customWidth="1"/>
    <col min="15619" max="15619" width="8.85546875" style="260" customWidth="1"/>
    <col min="15620" max="15620" width="9.85546875" style="260" customWidth="1"/>
    <col min="15621" max="15621" width="10.28515625" style="260" bestFit="1" customWidth="1"/>
    <col min="15622" max="15622" width="34.5703125" style="260" customWidth="1"/>
    <col min="15623" max="15623" width="13" style="260" customWidth="1"/>
    <col min="15624" max="15627" width="9.140625" style="260"/>
    <col min="15628" max="15628" width="10.140625" style="260" bestFit="1" customWidth="1"/>
    <col min="15629" max="15872" width="9.140625" style="260"/>
    <col min="15873" max="15873" width="9.140625" style="260" customWidth="1"/>
    <col min="15874" max="15874" width="23.140625" style="260" customWidth="1"/>
    <col min="15875" max="15875" width="8.85546875" style="260" customWidth="1"/>
    <col min="15876" max="15876" width="9.85546875" style="260" customWidth="1"/>
    <col min="15877" max="15877" width="10.28515625" style="260" bestFit="1" customWidth="1"/>
    <col min="15878" max="15878" width="34.5703125" style="260" customWidth="1"/>
    <col min="15879" max="15879" width="13" style="260" customWidth="1"/>
    <col min="15880" max="15883" width="9.140625" style="260"/>
    <col min="15884" max="15884" width="10.140625" style="260" bestFit="1" customWidth="1"/>
    <col min="15885" max="16128" width="9.140625" style="260"/>
    <col min="16129" max="16129" width="9.140625" style="260" customWidth="1"/>
    <col min="16130" max="16130" width="23.140625" style="260" customWidth="1"/>
    <col min="16131" max="16131" width="8.85546875" style="260" customWidth="1"/>
    <col min="16132" max="16132" width="9.85546875" style="260" customWidth="1"/>
    <col min="16133" max="16133" width="10.28515625" style="260" bestFit="1" customWidth="1"/>
    <col min="16134" max="16134" width="34.5703125" style="260" customWidth="1"/>
    <col min="16135" max="16135" width="13" style="260" customWidth="1"/>
    <col min="16136" max="16139" width="9.140625" style="260"/>
    <col min="16140" max="16140" width="10.140625" style="260" bestFit="1" customWidth="1"/>
    <col min="16141" max="16384" width="9.140625" style="260"/>
  </cols>
  <sheetData>
    <row r="1" spans="1:29" x14ac:dyDescent="0.25">
      <c r="A1" s="343"/>
      <c r="B1" s="343" t="s">
        <v>177</v>
      </c>
      <c r="C1" s="343"/>
      <c r="D1" s="343"/>
      <c r="E1" s="343"/>
      <c r="F1" s="344">
        <f ca="1">TODAY()</f>
        <v>45109</v>
      </c>
    </row>
    <row r="2" spans="1:29" ht="20.25" x14ac:dyDescent="0.3">
      <c r="A2" s="343"/>
      <c r="B2" s="345" t="s">
        <v>683</v>
      </c>
      <c r="C2" s="343"/>
      <c r="D2" s="343"/>
      <c r="E2" s="346" t="str">
        <f>Loads!L3</f>
        <v>Name</v>
      </c>
      <c r="F2" s="347" t="str">
        <f>Loads!M2</f>
        <v>Your Address/Location</v>
      </c>
    </row>
    <row r="3" spans="1:29" x14ac:dyDescent="0.25">
      <c r="A3" s="343"/>
      <c r="B3" s="343"/>
      <c r="C3" s="343"/>
      <c r="D3" s="343"/>
      <c r="E3" s="343"/>
      <c r="F3" s="348" t="s">
        <v>431</v>
      </c>
    </row>
    <row r="4" spans="1:29" x14ac:dyDescent="0.25">
      <c r="A4" s="343" t="s">
        <v>178</v>
      </c>
      <c r="B4" s="348" t="s">
        <v>22</v>
      </c>
      <c r="C4" s="348" t="s">
        <v>23</v>
      </c>
      <c r="D4" s="348" t="s">
        <v>24</v>
      </c>
      <c r="E4" s="349" t="s">
        <v>25</v>
      </c>
      <c r="F4" s="348" t="s">
        <v>10</v>
      </c>
    </row>
    <row r="5" spans="1:29" x14ac:dyDescent="0.25">
      <c r="A5" s="343" t="s">
        <v>636</v>
      </c>
      <c r="B5" s="350" t="s">
        <v>396</v>
      </c>
      <c r="C5" s="351">
        <f>Calculator!E7</f>
        <v>6.64</v>
      </c>
      <c r="D5" s="343"/>
      <c r="E5" s="343"/>
      <c r="F5" s="348"/>
    </row>
    <row r="6" spans="1:29" x14ac:dyDescent="0.25">
      <c r="A6" s="352" t="s">
        <v>107</v>
      </c>
      <c r="B6" s="350" t="s">
        <v>26</v>
      </c>
      <c r="C6" s="348">
        <f>C24*C25</f>
        <v>16</v>
      </c>
      <c r="D6" s="348"/>
      <c r="E6" s="353"/>
      <c r="F6" s="348"/>
      <c r="G6" s="411"/>
      <c r="J6" s="279"/>
      <c r="Q6" s="277"/>
      <c r="R6" s="277"/>
    </row>
    <row r="7" spans="1:29" ht="18.75" x14ac:dyDescent="0.3">
      <c r="A7" s="343"/>
      <c r="B7" s="350" t="s">
        <v>1</v>
      </c>
      <c r="C7" s="354" t="str">
        <f>VLOOKUP(VLOOKUP(C$5, '-calcs-'!$B$721:$W$732, 2, FALSE), '-calcs-'!$A$703:$T$712, 3, FALSE)</f>
        <v>Trina</v>
      </c>
      <c r="D7" s="348"/>
      <c r="E7" s="353"/>
      <c r="F7" s="348" t="s">
        <v>174</v>
      </c>
      <c r="G7" s="411"/>
      <c r="J7" s="412" t="str">
        <f>I25</f>
        <v>Array1</v>
      </c>
      <c r="K7" s="412"/>
      <c r="O7" s="280" t="str">
        <f>"Solar Calculations "</f>
        <v xml:space="preserve">Solar Calculations </v>
      </c>
      <c r="Q7" s="277"/>
      <c r="R7" s="277"/>
      <c r="W7" s="260" t="s">
        <v>237</v>
      </c>
      <c r="X7" s="260" t="s">
        <v>632</v>
      </c>
      <c r="Y7" s="260" t="str">
        <f>E2</f>
        <v>Name</v>
      </c>
    </row>
    <row r="8" spans="1:29" ht="15.75" x14ac:dyDescent="0.25">
      <c r="A8" s="343"/>
      <c r="B8" s="350" t="s">
        <v>0</v>
      </c>
      <c r="C8" s="355" t="str">
        <f>VLOOKUP(VLOOKUP(C$5, '-calcs-'!$B$721:$W$732, 2, FALSE), '-calcs-'!$A$703:$T$712, 4, FALSE)</f>
        <v>TSM-DE09R.08</v>
      </c>
      <c r="D8" s="343"/>
      <c r="E8" s="353"/>
      <c r="F8" s="281"/>
      <c r="G8" s="411"/>
      <c r="J8" s="279" t="s">
        <v>180</v>
      </c>
      <c r="L8" s="282" t="s">
        <v>550</v>
      </c>
      <c r="Q8" s="277"/>
      <c r="R8" s="277"/>
      <c r="Y8" s="414" t="str">
        <f>F2</f>
        <v>Your Address/Location</v>
      </c>
      <c r="Z8" s="414"/>
      <c r="AA8" s="414"/>
    </row>
    <row r="9" spans="1:29" x14ac:dyDescent="0.25">
      <c r="A9" s="343"/>
      <c r="B9" s="350" t="s">
        <v>30</v>
      </c>
      <c r="C9" s="348">
        <f>VLOOKUP(C$5, '-calcs-'!$B$721:$W$732, 3, FALSE)</f>
        <v>415</v>
      </c>
      <c r="D9" s="343" t="s">
        <v>31</v>
      </c>
      <c r="E9" s="353"/>
      <c r="F9" s="343"/>
      <c r="G9" s="411"/>
      <c r="J9" s="260" t="s">
        <v>181</v>
      </c>
      <c r="L9" s="283">
        <f>C41</f>
        <v>20</v>
      </c>
      <c r="Q9" s="277"/>
      <c r="R9" s="277"/>
      <c r="Y9" s="414"/>
      <c r="Z9" s="414"/>
      <c r="AA9" s="414"/>
    </row>
    <row r="10" spans="1:29" x14ac:dyDescent="0.25">
      <c r="A10" s="343"/>
      <c r="B10" s="350" t="s">
        <v>33</v>
      </c>
      <c r="C10" s="348">
        <f>VLOOKUP(C$5, '-calcs-'!$B$721:$W$732, 9, FALSE)</f>
        <v>41.7</v>
      </c>
      <c r="D10" s="343" t="s">
        <v>34</v>
      </c>
      <c r="E10" s="353"/>
      <c r="F10" s="343"/>
      <c r="G10" s="411"/>
      <c r="J10" s="260" t="s">
        <v>182</v>
      </c>
      <c r="L10" s="283">
        <f>C40</f>
        <v>20</v>
      </c>
      <c r="Q10" s="277"/>
      <c r="R10" s="277"/>
      <c r="Y10" s="260" t="str">
        <f>F4</f>
        <v>Comments</v>
      </c>
    </row>
    <row r="11" spans="1:29" x14ac:dyDescent="0.25">
      <c r="A11" s="343"/>
      <c r="B11" s="350" t="s">
        <v>36</v>
      </c>
      <c r="C11" s="348">
        <f>VLOOKUP(C$5, '-calcs-'!$B$721:$W$732, 10, FALSE)</f>
        <v>9.94</v>
      </c>
      <c r="D11" s="343" t="s">
        <v>6</v>
      </c>
      <c r="E11" s="353"/>
      <c r="F11" s="281"/>
      <c r="G11" s="411"/>
      <c r="J11" s="260" t="s">
        <v>183</v>
      </c>
      <c r="L11" s="284">
        <f>C30</f>
        <v>6640</v>
      </c>
      <c r="M11" s="260" t="s">
        <v>31</v>
      </c>
      <c r="Q11" s="277"/>
      <c r="R11" s="277"/>
      <c r="Y11" s="414"/>
      <c r="Z11" s="414"/>
      <c r="AA11" s="414"/>
    </row>
    <row r="12" spans="1:29" x14ac:dyDescent="0.25">
      <c r="A12" s="343"/>
      <c r="B12" s="350" t="s">
        <v>37</v>
      </c>
      <c r="C12" s="348">
        <f>VLOOKUP(C$5, '-calcs-'!$B$721:$W$732, 11, FALSE)</f>
        <v>50</v>
      </c>
      <c r="D12" s="343" t="s">
        <v>34</v>
      </c>
      <c r="E12" s="353"/>
      <c r="F12" s="348"/>
      <c r="G12" s="411"/>
      <c r="J12" s="260" t="s">
        <v>184</v>
      </c>
      <c r="K12" s="260">
        <f>C6</f>
        <v>16</v>
      </c>
      <c r="L12" s="260">
        <f>C9</f>
        <v>415</v>
      </c>
      <c r="M12" s="260" t="s">
        <v>31</v>
      </c>
      <c r="Y12" s="414"/>
      <c r="Z12" s="414"/>
      <c r="AA12" s="414"/>
    </row>
    <row r="13" spans="1:29" ht="15" customHeight="1" x14ac:dyDescent="0.25">
      <c r="A13" s="343"/>
      <c r="B13" s="350" t="s">
        <v>38</v>
      </c>
      <c r="C13" s="348">
        <f>VLOOKUP(C$5, '-calcs-'!$B$721:$W$732, 12, FALSE)</f>
        <v>10.55</v>
      </c>
      <c r="D13" s="343" t="s">
        <v>6</v>
      </c>
      <c r="E13" s="353"/>
      <c r="F13" s="348"/>
      <c r="J13" s="260" t="str">
        <f>C37</f>
        <v>Sydney</v>
      </c>
      <c r="K13" s="260" t="e">
        <f ca="1">VLOOKUP(C41, INDIRECT(VLOOKUP(J13, '-calcs-'!O208:P217, 2, FALSE)), (ROUND(C40, 10)/10+2), FALSE)</f>
        <v>#N/A</v>
      </c>
      <c r="L13" s="285" t="s">
        <v>706</v>
      </c>
      <c r="Z13" s="286">
        <f ca="1">TODAY()</f>
        <v>45109</v>
      </c>
    </row>
    <row r="14" spans="1:29" x14ac:dyDescent="0.25">
      <c r="A14" s="343"/>
      <c r="B14" s="350" t="s">
        <v>39</v>
      </c>
      <c r="C14" s="348">
        <f>VLOOKUP(C$5, '-calcs-'!$B$721:$W$732, 13, FALSE)</f>
        <v>20.8</v>
      </c>
      <c r="D14" s="343" t="s">
        <v>4</v>
      </c>
      <c r="E14" s="353"/>
      <c r="F14" s="348"/>
      <c r="I14" s="260">
        <v>0.05</v>
      </c>
      <c r="J14" s="287">
        <f>1-I14</f>
        <v>0.95</v>
      </c>
      <c r="K14" s="260" t="s">
        <v>480</v>
      </c>
      <c r="M14" s="288"/>
      <c r="Z14" s="260" t="s">
        <v>5</v>
      </c>
    </row>
    <row r="15" spans="1:29" x14ac:dyDescent="0.25">
      <c r="A15" s="343"/>
      <c r="B15" s="350" t="s">
        <v>40</v>
      </c>
      <c r="C15" s="348">
        <f>VLOOKUP(C$5, '-calcs-'!$B$721:$W$732, 14, FALSE)</f>
        <v>20</v>
      </c>
      <c r="D15" s="343" t="s">
        <v>6</v>
      </c>
      <c r="E15" s="353"/>
      <c r="F15" s="356" t="s">
        <v>104</v>
      </c>
      <c r="G15" s="260" t="s">
        <v>105</v>
      </c>
      <c r="I15" s="260">
        <v>0.03</v>
      </c>
      <c r="J15" s="287">
        <f>1-I15</f>
        <v>0.97</v>
      </c>
      <c r="K15" s="260" t="s">
        <v>185</v>
      </c>
      <c r="Z15" s="260" t="s">
        <v>177</v>
      </c>
      <c r="AC15" s="263" t="e">
        <f>NA()</f>
        <v>#N/A</v>
      </c>
    </row>
    <row r="16" spans="1:29" x14ac:dyDescent="0.25">
      <c r="A16" s="343"/>
      <c r="B16" s="350" t="s">
        <v>41</v>
      </c>
      <c r="C16" s="348">
        <f>VLOOKUP(C$5, '-calcs-'!$B$721:$W$732, 15, FALSE)</f>
        <v>5</v>
      </c>
      <c r="D16" s="343" t="s">
        <v>42</v>
      </c>
      <c r="E16" s="353"/>
      <c r="F16" s="348"/>
      <c r="I16" s="260">
        <f>C18/100</f>
        <v>-3.4000000000000002E-3</v>
      </c>
      <c r="J16" s="287">
        <f>1+I16*(C26+43-25-25)</f>
        <v>0.95240000000000002</v>
      </c>
      <c r="K16" s="260" t="s">
        <v>691</v>
      </c>
      <c r="Z16" s="289" t="s">
        <v>142</v>
      </c>
      <c r="AC16" s="263" t="e">
        <f>NA()</f>
        <v>#N/A</v>
      </c>
    </row>
    <row r="17" spans="1:44" x14ac:dyDescent="0.25">
      <c r="A17" s="343"/>
      <c r="B17" s="350" t="s">
        <v>43</v>
      </c>
      <c r="C17" s="348">
        <f>VLOOKUP(C$5, '-calcs-'!$B$721:$W$732, 16, FALSE)</f>
        <v>-0.25</v>
      </c>
      <c r="D17" s="343" t="s">
        <v>44</v>
      </c>
      <c r="E17" s="343"/>
      <c r="F17" s="410"/>
      <c r="J17" s="260" t="s">
        <v>238</v>
      </c>
      <c r="L17" s="290">
        <f>C57</f>
        <v>29.951999999999998</v>
      </c>
      <c r="M17" s="260" t="s">
        <v>114</v>
      </c>
      <c r="U17" s="291"/>
      <c r="V17" s="291"/>
      <c r="W17" s="291"/>
      <c r="X17" s="291"/>
      <c r="Y17" s="291"/>
      <c r="Z17" s="289" t="s">
        <v>143</v>
      </c>
      <c r="AC17" s="263" t="e">
        <f>NA()</f>
        <v>#N/A</v>
      </c>
      <c r="AE17" s="292" t="str">
        <f>C37</f>
        <v>Sydney</v>
      </c>
      <c r="AF17" s="293">
        <f ca="1">IF($C40=0, $K13, VLOOKUP($C41, INDIRECT(VLOOKUP(AF21,INDIRECT($AD30), 2, FALSE)), (ROUND($C40, 10)/10+2), FALSE))</f>
        <v>1</v>
      </c>
      <c r="AG17" s="293">
        <f ca="1">IF($C40=0, $K13, VLOOKUP($C41, INDIRECT(VLOOKUP(AG21,INDIRECT($AD30), 2, FALSE)), (ROUND($C40, 10)/10+2), FALSE))</f>
        <v>1.05</v>
      </c>
      <c r="AH17" s="293">
        <f t="shared" ref="AH17:AQ17" ca="1" si="0">IF($C40=0, $K13, VLOOKUP($C41, INDIRECT(VLOOKUP(AH21,INDIRECT($AD30), 2, FALSE)), (ROUND($C40, 10)/10+2), FALSE))</f>
        <v>1.1299999999999999</v>
      </c>
      <c r="AI17" s="293">
        <f t="shared" ca="1" si="0"/>
        <v>1.24</v>
      </c>
      <c r="AJ17" s="293">
        <f t="shared" ca="1" si="0"/>
        <v>1.37</v>
      </c>
      <c r="AK17" s="293">
        <f t="shared" ca="1" si="0"/>
        <v>1.42</v>
      </c>
      <c r="AL17" s="293">
        <f t="shared" ca="1" si="0"/>
        <v>1.41</v>
      </c>
      <c r="AM17" s="293">
        <f t="shared" ca="1" si="0"/>
        <v>1.3</v>
      </c>
      <c r="AN17" s="293">
        <f t="shared" ca="1" si="0"/>
        <v>1.17</v>
      </c>
      <c r="AO17" s="293">
        <f t="shared" ca="1" si="0"/>
        <v>1.07</v>
      </c>
      <c r="AP17" s="293">
        <f t="shared" ca="1" si="0"/>
        <v>1.01</v>
      </c>
      <c r="AQ17" s="293">
        <f t="shared" ca="1" si="0"/>
        <v>0.98</v>
      </c>
    </row>
    <row r="18" spans="1:44" x14ac:dyDescent="0.25">
      <c r="A18" s="343"/>
      <c r="B18" s="350" t="s">
        <v>694</v>
      </c>
      <c r="C18" s="348">
        <f>VLOOKUP(C$5, '-calcs-'!$B$721:$W$732, 17, FALSE)</f>
        <v>-0.34</v>
      </c>
      <c r="D18" s="343" t="s">
        <v>44</v>
      </c>
      <c r="E18" s="353"/>
      <c r="F18" s="410"/>
      <c r="J18" s="294" t="s">
        <v>880</v>
      </c>
      <c r="AB18" s="263" t="e">
        <f>NA()</f>
        <v>#N/A</v>
      </c>
      <c r="AC18" s="263" t="e">
        <f>NA()</f>
        <v>#N/A</v>
      </c>
      <c r="AE18" s="295">
        <f>E37</f>
        <v>0</v>
      </c>
      <c r="AF18" s="293">
        <f>$AE18</f>
        <v>0</v>
      </c>
      <c r="AG18" s="293">
        <f t="shared" ref="AG18:AQ18" si="1">$AE18</f>
        <v>0</v>
      </c>
      <c r="AH18" s="293">
        <f t="shared" si="1"/>
        <v>0</v>
      </c>
      <c r="AI18" s="293">
        <f t="shared" si="1"/>
        <v>0</v>
      </c>
      <c r="AJ18" s="293">
        <f t="shared" si="1"/>
        <v>0</v>
      </c>
      <c r="AK18" s="293">
        <f t="shared" si="1"/>
        <v>0</v>
      </c>
      <c r="AL18" s="293">
        <f t="shared" si="1"/>
        <v>0</v>
      </c>
      <c r="AM18" s="293">
        <f t="shared" si="1"/>
        <v>0</v>
      </c>
      <c r="AN18" s="293">
        <f t="shared" si="1"/>
        <v>0</v>
      </c>
      <c r="AO18" s="293">
        <f t="shared" si="1"/>
        <v>0</v>
      </c>
      <c r="AP18" s="293">
        <f t="shared" si="1"/>
        <v>0</v>
      </c>
      <c r="AQ18" s="293">
        <f t="shared" si="1"/>
        <v>0</v>
      </c>
    </row>
    <row r="19" spans="1:44" x14ac:dyDescent="0.25">
      <c r="A19" s="343"/>
      <c r="B19" s="350" t="s">
        <v>156</v>
      </c>
      <c r="C19" s="348">
        <f>VLOOKUP(C$5, '-calcs-'!$B$721:$W$732, 18, FALSE)</f>
        <v>25</v>
      </c>
      <c r="D19" s="343" t="s">
        <v>89</v>
      </c>
      <c r="E19" s="353"/>
      <c r="F19" s="410"/>
      <c r="N19" s="291">
        <v>5</v>
      </c>
      <c r="O19" s="291">
        <v>6</v>
      </c>
      <c r="P19" s="291">
        <v>7</v>
      </c>
      <c r="Q19" s="291">
        <v>8</v>
      </c>
      <c r="R19" s="291">
        <v>9</v>
      </c>
      <c r="S19" s="291">
        <v>10</v>
      </c>
      <c r="T19" s="291">
        <v>11</v>
      </c>
      <c r="U19" s="291">
        <v>12</v>
      </c>
      <c r="V19" s="291">
        <v>13</v>
      </c>
      <c r="W19" s="291">
        <v>14</v>
      </c>
      <c r="X19" s="291">
        <v>15</v>
      </c>
      <c r="Y19" s="291">
        <v>16</v>
      </c>
      <c r="Z19" s="291">
        <v>17</v>
      </c>
      <c r="AB19" s="263" t="e">
        <f>NA()</f>
        <v>#N/A</v>
      </c>
      <c r="AC19" s="263" t="e">
        <f>NA()</f>
        <v>#N/A</v>
      </c>
      <c r="AE19" s="292">
        <f>D37</f>
        <v>0</v>
      </c>
      <c r="AF19" s="293" t="e">
        <f ca="1">IF($C40=0, $K13, VLOOKUP($C41, INDIRECT(VLOOKUP(AF21,INDIRECT($AD31), 2, FALSE)), (ROUND($C40, 10)/10+2), FALSE))</f>
        <v>#N/A</v>
      </c>
      <c r="AG19" s="293" t="e">
        <f ca="1">IF($C40=0, $K13, VLOOKUP($C41, INDIRECT(VLOOKUP(AG21,INDIRECT($AD31), 2, FALSE)), (ROUND($C40, 10)/10+2), FALSE))</f>
        <v>#N/A</v>
      </c>
      <c r="AH19" s="293" t="e">
        <f t="shared" ref="AH19:AQ19" ca="1" si="2">IF($C40=0, $K13, VLOOKUP($C41, INDIRECT(VLOOKUP(AH21,INDIRECT($AD31), 2, FALSE)), (ROUND($C40, 10)/10+2), FALSE))</f>
        <v>#N/A</v>
      </c>
      <c r="AI19" s="293" t="e">
        <f t="shared" ca="1" si="2"/>
        <v>#N/A</v>
      </c>
      <c r="AJ19" s="293" t="e">
        <f t="shared" ca="1" si="2"/>
        <v>#N/A</v>
      </c>
      <c r="AK19" s="293" t="e">
        <f t="shared" ca="1" si="2"/>
        <v>#N/A</v>
      </c>
      <c r="AL19" s="293" t="e">
        <f t="shared" ca="1" si="2"/>
        <v>#N/A</v>
      </c>
      <c r="AM19" s="293" t="e">
        <f t="shared" ca="1" si="2"/>
        <v>#N/A</v>
      </c>
      <c r="AN19" s="293" t="e">
        <f t="shared" ca="1" si="2"/>
        <v>#N/A</v>
      </c>
      <c r="AO19" s="293" t="e">
        <f t="shared" ca="1" si="2"/>
        <v>#N/A</v>
      </c>
      <c r="AP19" s="293" t="e">
        <f t="shared" ca="1" si="2"/>
        <v>#N/A</v>
      </c>
      <c r="AQ19" s="293" t="e">
        <f t="shared" ca="1" si="2"/>
        <v>#N/A</v>
      </c>
    </row>
    <row r="20" spans="1:44" x14ac:dyDescent="0.25">
      <c r="A20" s="343"/>
      <c r="B20" s="350" t="s">
        <v>45</v>
      </c>
      <c r="C20" s="348">
        <f>VLOOKUP(C$5, '-calcs-'!$B$721:$W$732, 19, FALSE)</f>
        <v>1762</v>
      </c>
      <c r="D20" s="343" t="s">
        <v>46</v>
      </c>
      <c r="E20" s="353"/>
      <c r="F20" s="410"/>
      <c r="J20" s="260" t="s">
        <v>447</v>
      </c>
      <c r="N20" s="296">
        <f ca="1">IF($C40=0, $K13, IF($D37="", VLOOKUP($C41, INDIRECT(VLOOKUP(N21,INDIRECT($AD29), 2, FALSE)), (ROUND($C40, 10)/10+2), FALSE), AF20))</f>
        <v>1</v>
      </c>
      <c r="O20" s="296">
        <f ca="1">IF($C40=0, $K13, IF($D37="", VLOOKUP($C41, INDIRECT(VLOOKUP(O21,INDIRECT($AD29), 2, FALSE)), (ROUND($C40, 10)/10+2), FALSE), AG20))</f>
        <v>1.05</v>
      </c>
      <c r="P20" s="296">
        <f t="shared" ref="P20:X20" ca="1" si="3">IF($C40=0, $K13, IF($D37="", VLOOKUP($C41, INDIRECT(VLOOKUP(P21,INDIRECT($AD29), 2, FALSE)), (ROUND($C40, 10)/10+2), FALSE), AH20))</f>
        <v>1.1299999999999999</v>
      </c>
      <c r="Q20" s="296">
        <f t="shared" ca="1" si="3"/>
        <v>1.24</v>
      </c>
      <c r="R20" s="296">
        <f t="shared" ca="1" si="3"/>
        <v>1.37</v>
      </c>
      <c r="S20" s="296">
        <f t="shared" ca="1" si="3"/>
        <v>1.42</v>
      </c>
      <c r="T20" s="296">
        <f t="shared" ca="1" si="3"/>
        <v>1.41</v>
      </c>
      <c r="U20" s="296">
        <f t="shared" ca="1" si="3"/>
        <v>1.3</v>
      </c>
      <c r="V20" s="296">
        <f t="shared" ca="1" si="3"/>
        <v>1.17</v>
      </c>
      <c r="W20" s="296">
        <f t="shared" ca="1" si="3"/>
        <v>1.07</v>
      </c>
      <c r="X20" s="296">
        <f t="shared" ca="1" si="3"/>
        <v>1.01</v>
      </c>
      <c r="Y20" s="296">
        <f ca="1">IF($C40=0, $K13, IF($D37="", VLOOKUP($C41, INDIRECT(VLOOKUP(Y21,INDIRECT($AD29), 2, FALSE)), (ROUND($C40, 10)/10+2), FALSE), AQ20))</f>
        <v>0.98</v>
      </c>
      <c r="Z20" s="263"/>
      <c r="AB20" s="263" t="e">
        <f>NA()</f>
        <v>#N/A</v>
      </c>
      <c r="AC20" s="263" t="e">
        <f>NA()</f>
        <v>#N/A</v>
      </c>
      <c r="AE20" s="260" t="s">
        <v>456</v>
      </c>
      <c r="AF20" s="288" t="e">
        <f ca="1">IF(AF17&gt;AF19, AF17-(ABS(AF17-AF19)*AF18), AF17+ABS(AF17-AF19)*AF18)</f>
        <v>#N/A</v>
      </c>
      <c r="AG20" s="288" t="e">
        <f t="shared" ref="AG20:AQ20" ca="1" si="4">IF(AG17&gt;AG19, AG17-(ABS(AG17-AG19)*AG18), AG17+ABS(AG17-AG19)*AG18)</f>
        <v>#N/A</v>
      </c>
      <c r="AH20" s="288" t="e">
        <f t="shared" ca="1" si="4"/>
        <v>#N/A</v>
      </c>
      <c r="AI20" s="288" t="e">
        <f t="shared" ca="1" si="4"/>
        <v>#N/A</v>
      </c>
      <c r="AJ20" s="288" t="e">
        <f t="shared" ca="1" si="4"/>
        <v>#N/A</v>
      </c>
      <c r="AK20" s="288" t="e">
        <f t="shared" ca="1" si="4"/>
        <v>#N/A</v>
      </c>
      <c r="AL20" s="288" t="e">
        <f t="shared" ca="1" si="4"/>
        <v>#N/A</v>
      </c>
      <c r="AM20" s="288" t="e">
        <f t="shared" ca="1" si="4"/>
        <v>#N/A</v>
      </c>
      <c r="AN20" s="288" t="e">
        <f t="shared" ca="1" si="4"/>
        <v>#N/A</v>
      </c>
      <c r="AO20" s="288" t="e">
        <f t="shared" ca="1" si="4"/>
        <v>#N/A</v>
      </c>
      <c r="AP20" s="288" t="e">
        <f t="shared" ca="1" si="4"/>
        <v>#N/A</v>
      </c>
      <c r="AQ20" s="288" t="e">
        <f t="shared" ca="1" si="4"/>
        <v>#N/A</v>
      </c>
    </row>
    <row r="21" spans="1:44" x14ac:dyDescent="0.25">
      <c r="A21" s="343"/>
      <c r="B21" s="350" t="s">
        <v>47</v>
      </c>
      <c r="C21" s="348">
        <f>VLOOKUP(C$5, '-calcs-'!$B$721:$W$732, 20, FALSE)</f>
        <v>1134</v>
      </c>
      <c r="D21" s="343" t="s">
        <v>46</v>
      </c>
      <c r="E21" s="353"/>
      <c r="F21" s="410"/>
      <c r="J21" s="279" t="s">
        <v>186</v>
      </c>
      <c r="N21" s="318" t="s">
        <v>187</v>
      </c>
      <c r="O21" s="318" t="s">
        <v>188</v>
      </c>
      <c r="P21" s="318" t="s">
        <v>189</v>
      </c>
      <c r="Q21" s="318" t="s">
        <v>190</v>
      </c>
      <c r="R21" s="318" t="s">
        <v>35</v>
      </c>
      <c r="S21" s="318" t="s">
        <v>191</v>
      </c>
      <c r="T21" s="318" t="s">
        <v>192</v>
      </c>
      <c r="U21" s="318" t="s">
        <v>193</v>
      </c>
      <c r="V21" s="318" t="s">
        <v>194</v>
      </c>
      <c r="W21" s="318" t="s">
        <v>195</v>
      </c>
      <c r="X21" s="318" t="s">
        <v>196</v>
      </c>
      <c r="Y21" s="318" t="s">
        <v>197</v>
      </c>
      <c r="Z21" s="318" t="s">
        <v>198</v>
      </c>
      <c r="AB21" s="263" t="e">
        <f>NA()</f>
        <v>#N/A</v>
      </c>
      <c r="AC21" s="263" t="e">
        <f>NA()</f>
        <v>#N/A</v>
      </c>
      <c r="AE21" s="295"/>
      <c r="AF21" s="318" t="s">
        <v>187</v>
      </c>
      <c r="AG21" s="318" t="s">
        <v>188</v>
      </c>
      <c r="AH21" s="318" t="s">
        <v>189</v>
      </c>
      <c r="AI21" s="318" t="s">
        <v>190</v>
      </c>
      <c r="AJ21" s="318" t="s">
        <v>35</v>
      </c>
      <c r="AK21" s="318" t="s">
        <v>191</v>
      </c>
      <c r="AL21" s="318" t="s">
        <v>192</v>
      </c>
      <c r="AM21" s="318" t="s">
        <v>193</v>
      </c>
      <c r="AN21" s="318" t="s">
        <v>194</v>
      </c>
      <c r="AO21" s="318" t="s">
        <v>195</v>
      </c>
      <c r="AP21" s="318" t="s">
        <v>196</v>
      </c>
      <c r="AQ21" s="318" t="s">
        <v>197</v>
      </c>
      <c r="AR21" s="318" t="s">
        <v>198</v>
      </c>
    </row>
    <row r="22" spans="1:44" x14ac:dyDescent="0.25">
      <c r="A22" s="343"/>
      <c r="B22" s="350" t="s">
        <v>48</v>
      </c>
      <c r="C22" s="348">
        <f>VLOOKUP(C$5, '-calcs-'!$B$721:$W$732, 21, FALSE)</f>
        <v>30</v>
      </c>
      <c r="D22" s="343" t="s">
        <v>46</v>
      </c>
      <c r="E22" s="353"/>
      <c r="F22" s="410"/>
      <c r="J22" s="413" t="str">
        <f>"PSH for "&amp;J13&amp;" at tilt "&amp;C40&amp;" and azimuth "&amp;C41</f>
        <v>PSH for Sydney at tilt 20 and azimuth 20</v>
      </c>
      <c r="K22" s="413"/>
      <c r="L22" s="413"/>
      <c r="M22" s="413"/>
      <c r="N22" s="263">
        <f>IF($E38="",HLOOKUP($C37,'-calcs-'!$D208:$M224,N19,FALSE),AF23)</f>
        <v>6.4</v>
      </c>
      <c r="O22" s="263">
        <f>IF($E38="",HLOOKUP($C37,'-calcs-'!$D208:$M224,O19,FALSE),AG23)</f>
        <v>5.6</v>
      </c>
      <c r="P22" s="263">
        <f>IF($E38="",HLOOKUP($C37,'-calcs-'!$D208:$M224,P19,FALSE),AH23)</f>
        <v>4.8</v>
      </c>
      <c r="Q22" s="263">
        <f>IF($E38="",HLOOKUP($C37,'-calcs-'!$D208:$M224,Q19,FALSE),AI23)</f>
        <v>3.8</v>
      </c>
      <c r="R22" s="263">
        <f>IF($E38="",HLOOKUP($C37,'-calcs-'!$D208:$M224,R19,FALSE),AJ23)</f>
        <v>2.9</v>
      </c>
      <c r="S22" s="263">
        <f>IF($E38="",HLOOKUP($C37,'-calcs-'!$D208:$M224,S19,FALSE),AK23)</f>
        <v>2.4</v>
      </c>
      <c r="T22" s="263">
        <f>IF($E38="",HLOOKUP($C37,'-calcs-'!$D208:$M224,T19,FALSE),AL23)</f>
        <v>2.7</v>
      </c>
      <c r="U22" s="263">
        <f>IF($E38="",HLOOKUP($C37,'-calcs-'!$D208:$M224,U19,FALSE),AM23)</f>
        <v>3.6</v>
      </c>
      <c r="V22" s="263">
        <f>IF($E38="",HLOOKUP($C37,'-calcs-'!$D208:$M224,V19,FALSE),AN23)</f>
        <v>4.7</v>
      </c>
      <c r="W22" s="263">
        <f>IF($E38="",HLOOKUP($C37,'-calcs-'!$D208:$M224,W19,FALSE),AO23)</f>
        <v>5.6</v>
      </c>
      <c r="X22" s="263">
        <f>IF($E38="",HLOOKUP($C37,'-calcs-'!$D208:$M224,X19,FALSE),AP23)</f>
        <v>6</v>
      </c>
      <c r="Y22" s="263">
        <f>IF($E38="",HLOOKUP($C37,'-calcs-'!$D208:$M224,Y19,FALSE),AQ23)</f>
        <v>6.5</v>
      </c>
      <c r="Z22" s="263">
        <f>IF($E38="",HLOOKUP($C37,'-calcs-'!$D208:$L224,Z19,FALSE),AR23)</f>
        <v>4.5999999999999996</v>
      </c>
      <c r="AB22" s="263" t="e">
        <f>NA()</f>
        <v>#N/A</v>
      </c>
      <c r="AC22" s="263" t="e">
        <f>NA()</f>
        <v>#N/A</v>
      </c>
    </row>
    <row r="23" spans="1:44" x14ac:dyDescent="0.25">
      <c r="A23" s="343"/>
      <c r="B23" s="350" t="s">
        <v>49</v>
      </c>
      <c r="C23" s="348">
        <f>VLOOKUP(C$5, '-calcs-'!$B$721:$W$732, 22, FALSE)</f>
        <v>21.8</v>
      </c>
      <c r="D23" s="343" t="s">
        <v>50</v>
      </c>
      <c r="E23" s="353"/>
      <c r="F23" s="410"/>
      <c r="J23" s="413" t="s">
        <v>199</v>
      </c>
      <c r="K23" s="413"/>
      <c r="L23" s="413"/>
      <c r="M23" s="413"/>
      <c r="N23" s="319">
        <f ca="1">$J15*$J14*N22*$L11/1000*N$20</f>
        <v>39.160064000000006</v>
      </c>
      <c r="O23" s="319">
        <f t="shared" ref="O23:Y23" ca="1" si="5">$J15*$J14*O22*$L11/1000*O$20</f>
        <v>35.978308799999994</v>
      </c>
      <c r="P23" s="319">
        <f t="shared" ca="1" si="5"/>
        <v>33.188154239999996</v>
      </c>
      <c r="Q23" s="319">
        <f t="shared" ca="1" si="5"/>
        <v>28.831597119999994</v>
      </c>
      <c r="R23" s="319">
        <f t="shared" ca="1" si="5"/>
        <v>24.309833480000002</v>
      </c>
      <c r="S23" s="319">
        <f t="shared" ca="1" si="5"/>
        <v>20.852734079999998</v>
      </c>
      <c r="T23" s="319">
        <f t="shared" ca="1" si="5"/>
        <v>23.29411932</v>
      </c>
      <c r="U23" s="319">
        <f t="shared" ca="1" si="5"/>
        <v>28.635796800000001</v>
      </c>
      <c r="V23" s="319">
        <f t="shared" ca="1" si="5"/>
        <v>33.647061239999999</v>
      </c>
      <c r="W23" s="319">
        <f t="shared" ca="1" si="5"/>
        <v>36.663609919999999</v>
      </c>
      <c r="X23" s="319">
        <f t="shared" ca="1" si="5"/>
        <v>37.079685599999998</v>
      </c>
      <c r="Y23" s="319">
        <f t="shared" ca="1" si="5"/>
        <v>38.976501200000001</v>
      </c>
      <c r="Z23" s="319">
        <f ca="1">AVERAGE(N23:Y23)</f>
        <v>31.718122149999999</v>
      </c>
      <c r="AA23" s="297"/>
      <c r="AB23" s="263" t="e">
        <f>NA()</f>
        <v>#N/A</v>
      </c>
      <c r="AC23" s="263" t="e">
        <f>NA()</f>
        <v>#N/A</v>
      </c>
      <c r="AE23" s="298" t="str">
        <f>"PSH-"&amp;E38</f>
        <v>PSH-</v>
      </c>
      <c r="AF23" s="260">
        <v>6.3</v>
      </c>
      <c r="AG23" s="260">
        <v>5.5</v>
      </c>
      <c r="AH23" s="260">
        <v>4.5999999999999996</v>
      </c>
      <c r="AI23" s="260">
        <v>4.0999999999999996</v>
      </c>
      <c r="AJ23" s="260">
        <v>3.4</v>
      </c>
      <c r="AK23" s="260">
        <v>2.9</v>
      </c>
      <c r="AL23" s="260">
        <v>3.2</v>
      </c>
      <c r="AM23" s="260">
        <v>4.0999999999999996</v>
      </c>
      <c r="AN23" s="260">
        <v>4.9000000000000004</v>
      </c>
      <c r="AO23" s="260">
        <v>5.6</v>
      </c>
      <c r="AP23" s="260">
        <v>6.1</v>
      </c>
      <c r="AQ23" s="260">
        <v>6</v>
      </c>
      <c r="AR23" s="320">
        <v>5.0999999999999996</v>
      </c>
    </row>
    <row r="24" spans="1:44" x14ac:dyDescent="0.25">
      <c r="A24" s="343"/>
      <c r="B24" s="350" t="s">
        <v>51</v>
      </c>
      <c r="C24" s="348">
        <f>VLOOKUP(C$5, '-calcs-'!$B$721:$W$732, 4, FALSE)</f>
        <v>8</v>
      </c>
      <c r="D24" s="343"/>
      <c r="E24" s="353"/>
      <c r="F24" s="410"/>
      <c r="J24" s="413" t="s">
        <v>200</v>
      </c>
      <c r="K24" s="413"/>
      <c r="L24" s="413"/>
      <c r="M24" s="413"/>
      <c r="N24" s="296">
        <f>$J14*$J15*$J16</f>
        <v>0.87763659999999999</v>
      </c>
      <c r="O24" s="296">
        <f>$J14*$J15*$J16</f>
        <v>0.87763659999999999</v>
      </c>
      <c r="P24" s="296">
        <f t="shared" ref="P24:Y24" si="6">$J14*$J15*$J16</f>
        <v>0.87763659999999999</v>
      </c>
      <c r="Q24" s="296">
        <f t="shared" si="6"/>
        <v>0.87763659999999999</v>
      </c>
      <c r="R24" s="296">
        <f t="shared" si="6"/>
        <v>0.87763659999999999</v>
      </c>
      <c r="S24" s="296">
        <f t="shared" si="6"/>
        <v>0.87763659999999999</v>
      </c>
      <c r="T24" s="296">
        <f t="shared" si="6"/>
        <v>0.87763659999999999</v>
      </c>
      <c r="U24" s="296">
        <f t="shared" si="6"/>
        <v>0.87763659999999999</v>
      </c>
      <c r="V24" s="296">
        <f t="shared" si="6"/>
        <v>0.87763659999999999</v>
      </c>
      <c r="W24" s="296">
        <f t="shared" si="6"/>
        <v>0.87763659999999999</v>
      </c>
      <c r="X24" s="296">
        <f t="shared" si="6"/>
        <v>0.87763659999999999</v>
      </c>
      <c r="Y24" s="296">
        <f t="shared" si="6"/>
        <v>0.87763659999999999</v>
      </c>
      <c r="Z24" s="296">
        <f t="shared" ref="Z24" si="7">$J14*$J15</f>
        <v>0.92149999999999999</v>
      </c>
      <c r="AB24" s="263" t="e">
        <f>NA()</f>
        <v>#N/A</v>
      </c>
      <c r="AC24" s="263" t="e">
        <f>NA()</f>
        <v>#N/A</v>
      </c>
    </row>
    <row r="25" spans="1:44" x14ac:dyDescent="0.25">
      <c r="A25" s="343"/>
      <c r="B25" s="350" t="s">
        <v>52</v>
      </c>
      <c r="C25" s="348">
        <f>VLOOKUP(C$5, '-calcs-'!$B$721:$W$732, 5, FALSE)</f>
        <v>2</v>
      </c>
      <c r="D25" s="343"/>
      <c r="E25" s="343"/>
      <c r="F25" s="348"/>
      <c r="I25" s="299" t="s">
        <v>637</v>
      </c>
      <c r="J25" s="413" t="s">
        <v>201</v>
      </c>
      <c r="K25" s="413"/>
      <c r="L25" s="413"/>
      <c r="M25" s="413"/>
      <c r="N25" s="321">
        <f ca="1">N23*N24</f>
        <v>34.368305424742402</v>
      </c>
      <c r="O25" s="321">
        <f t="shared" ref="O25:Z25" ca="1" si="8">O23*O24</f>
        <v>31.575880608982075</v>
      </c>
      <c r="P25" s="321">
        <f t="shared" ca="1" si="8"/>
        <v>29.12713884746918</v>
      </c>
      <c r="Q25" s="321">
        <f t="shared" ca="1" si="8"/>
        <v>25.303664868966585</v>
      </c>
      <c r="R25" s="321">
        <f t="shared" ca="1" si="8"/>
        <v>21.33519960195337</v>
      </c>
      <c r="S25" s="321">
        <f t="shared" ca="1" si="8"/>
        <v>18.301122638675327</v>
      </c>
      <c r="T25" s="321">
        <f t="shared" ca="1" si="8"/>
        <v>20.443771679999113</v>
      </c>
      <c r="U25" s="321">
        <f t="shared" ca="1" si="8"/>
        <v>25.131823341842882</v>
      </c>
      <c r="V25" s="321">
        <f t="shared" ca="1" si="8"/>
        <v>29.529892426665384</v>
      </c>
      <c r="W25" s="321">
        <f t="shared" ca="1" si="8"/>
        <v>32.177325953915073</v>
      </c>
      <c r="X25" s="321">
        <f t="shared" ca="1" si="8"/>
        <v>32.542489199052959</v>
      </c>
      <c r="Y25" s="321">
        <f t="shared" ca="1" si="8"/>
        <v>34.207203993063921</v>
      </c>
      <c r="Z25" s="321">
        <f t="shared" ca="1" si="8"/>
        <v>29.228249561224999</v>
      </c>
      <c r="AB25" s="263" t="e">
        <f>NA()</f>
        <v>#N/A</v>
      </c>
      <c r="AC25" s="263" t="e">
        <f>NA()</f>
        <v>#N/A</v>
      </c>
      <c r="AG25" s="265" t="s">
        <v>481</v>
      </c>
      <c r="AH25" s="265"/>
      <c r="AI25" s="265"/>
      <c r="AJ25" s="265"/>
      <c r="AK25" s="265"/>
      <c r="AL25" s="265"/>
      <c r="AM25" s="265"/>
      <c r="AN25" s="265"/>
    </row>
    <row r="26" spans="1:44" x14ac:dyDescent="0.25">
      <c r="A26" s="343"/>
      <c r="B26" s="350" t="s">
        <v>881</v>
      </c>
      <c r="C26" s="357">
        <f>Loads!O75</f>
        <v>21</v>
      </c>
      <c r="D26" s="343" t="s">
        <v>89</v>
      </c>
      <c r="E26" s="358" t="str">
        <f>(C26-25+43-25)&amp;" bel. NOCT"</f>
        <v>14 bel. NOCT</v>
      </c>
      <c r="F26" s="359" t="s">
        <v>880</v>
      </c>
      <c r="I26" s="279" t="s">
        <v>657</v>
      </c>
      <c r="J26" s="413" t="s">
        <v>201</v>
      </c>
      <c r="K26" s="413"/>
      <c r="L26" s="413"/>
      <c r="M26" s="413"/>
      <c r="N26" s="321">
        <f ca="1">'-calcs-'!N127+N25</f>
        <v>34.368305424742402</v>
      </c>
      <c r="O26" s="321">
        <f ca="1">'-calcs-'!O127+O25</f>
        <v>31.575880608982075</v>
      </c>
      <c r="P26" s="321">
        <f ca="1">'-calcs-'!P127+P25</f>
        <v>29.12713884746918</v>
      </c>
      <c r="Q26" s="321">
        <f ca="1">'-calcs-'!Q127+Q25</f>
        <v>25.303664868966585</v>
      </c>
      <c r="R26" s="321">
        <f ca="1">'-calcs-'!R127+R25</f>
        <v>21.33519960195337</v>
      </c>
      <c r="S26" s="321">
        <f ca="1">'-calcs-'!S127+S25</f>
        <v>18.301122638675327</v>
      </c>
      <c r="T26" s="321">
        <f ca="1">'-calcs-'!T127+T25</f>
        <v>20.443771679999113</v>
      </c>
      <c r="U26" s="321">
        <f ca="1">'-calcs-'!U127+U25</f>
        <v>25.131823341842882</v>
      </c>
      <c r="V26" s="321">
        <f ca="1">'-calcs-'!V127+V25</f>
        <v>29.529892426665384</v>
      </c>
      <c r="W26" s="321">
        <f ca="1">'-calcs-'!W127+W25</f>
        <v>32.177325953915073</v>
      </c>
      <c r="X26" s="321">
        <f ca="1">'-calcs-'!X127+X25</f>
        <v>32.542489199052959</v>
      </c>
      <c r="Y26" s="321">
        <f ca="1">'-calcs-'!Y127+Y25</f>
        <v>34.207203993063921</v>
      </c>
      <c r="Z26" s="321">
        <f ca="1">'-calcs-'!Z127+Z25</f>
        <v>29.228249561224999</v>
      </c>
      <c r="AB26" s="263" t="e">
        <f>NA()</f>
        <v>#N/A</v>
      </c>
      <c r="AC26" s="322">
        <f ca="1">Y26</f>
        <v>34.207203993063921</v>
      </c>
      <c r="AG26" s="265"/>
      <c r="AH26" s="265"/>
      <c r="AI26" s="265"/>
      <c r="AJ26" s="265"/>
      <c r="AK26" s="265"/>
      <c r="AL26" s="265"/>
      <c r="AM26" s="265"/>
      <c r="AN26" s="265"/>
    </row>
    <row r="27" spans="1:44" x14ac:dyDescent="0.25">
      <c r="A27" s="343"/>
      <c r="B27" s="350" t="s">
        <v>693</v>
      </c>
      <c r="C27" s="357">
        <f>Loads!O76-3</f>
        <v>5</v>
      </c>
      <c r="D27" s="343" t="s">
        <v>89</v>
      </c>
      <c r="E27" s="353" t="s">
        <v>879</v>
      </c>
      <c r="F27" s="348"/>
      <c r="J27" s="413"/>
      <c r="K27" s="413"/>
      <c r="L27" s="413"/>
      <c r="M27" s="413"/>
      <c r="N27" s="300">
        <f t="shared" ref="N27:Z27" ca="1" si="9">$Z25</f>
        <v>29.228249561224999</v>
      </c>
      <c r="O27" s="300">
        <f t="shared" ca="1" si="9"/>
        <v>29.228249561224999</v>
      </c>
      <c r="P27" s="300">
        <f t="shared" ca="1" si="9"/>
        <v>29.228249561224999</v>
      </c>
      <c r="Q27" s="300">
        <f t="shared" ca="1" si="9"/>
        <v>29.228249561224999</v>
      </c>
      <c r="R27" s="300">
        <f t="shared" ca="1" si="9"/>
        <v>29.228249561224999</v>
      </c>
      <c r="S27" s="300">
        <f t="shared" ca="1" si="9"/>
        <v>29.228249561224999</v>
      </c>
      <c r="T27" s="300">
        <f t="shared" ca="1" si="9"/>
        <v>29.228249561224999</v>
      </c>
      <c r="U27" s="300">
        <f t="shared" ca="1" si="9"/>
        <v>29.228249561224999</v>
      </c>
      <c r="V27" s="300">
        <f t="shared" ca="1" si="9"/>
        <v>29.228249561224999</v>
      </c>
      <c r="W27" s="300">
        <f t="shared" ca="1" si="9"/>
        <v>29.228249561224999</v>
      </c>
      <c r="X27" s="300">
        <f t="shared" ca="1" si="9"/>
        <v>29.228249561224999</v>
      </c>
      <c r="Y27" s="300">
        <f t="shared" ca="1" si="9"/>
        <v>29.228249561224999</v>
      </c>
      <c r="Z27" s="300">
        <f t="shared" ca="1" si="9"/>
        <v>29.228249561224999</v>
      </c>
      <c r="AB27" s="263" t="e">
        <f>NA()</f>
        <v>#N/A</v>
      </c>
      <c r="AC27" s="285" t="s">
        <v>905</v>
      </c>
      <c r="AD27" s="279" t="s">
        <v>457</v>
      </c>
      <c r="AE27" s="279"/>
      <c r="AG27" s="265" t="s">
        <v>482</v>
      </c>
      <c r="AH27" s="265"/>
      <c r="AI27" s="265"/>
      <c r="AJ27" s="265"/>
      <c r="AK27" s="265"/>
      <c r="AL27" s="265"/>
      <c r="AM27" s="265"/>
      <c r="AN27" s="265"/>
    </row>
    <row r="28" spans="1:44" x14ac:dyDescent="0.25">
      <c r="A28" s="343"/>
      <c r="B28" s="350" t="s">
        <v>53</v>
      </c>
      <c r="C28" s="351">
        <f>C24*C12</f>
        <v>400</v>
      </c>
      <c r="D28" s="343" t="s">
        <v>34</v>
      </c>
      <c r="E28" s="348"/>
      <c r="F28" s="348"/>
      <c r="G28" s="301"/>
      <c r="I28" s="302" t="s">
        <v>239</v>
      </c>
      <c r="J28" s="260" t="s">
        <v>202</v>
      </c>
      <c r="L28" s="304"/>
      <c r="M28" s="303"/>
      <c r="N28" s="303">
        <f>N36*31</f>
        <v>441.33152743829783</v>
      </c>
      <c r="O28" s="303">
        <f>O36*28.25</f>
        <v>402.1811500042553</v>
      </c>
      <c r="P28" s="303">
        <f t="shared" ref="P28:Y28" si="10">P36*31</f>
        <v>441.33152743829783</v>
      </c>
      <c r="Q28" s="303">
        <f>Q36*30</f>
        <v>377.21610900000002</v>
      </c>
      <c r="R28" s="303">
        <f t="shared" si="10"/>
        <v>389.78997930000003</v>
      </c>
      <c r="S28" s="303">
        <f>S36*30</f>
        <v>402.15556777659577</v>
      </c>
      <c r="T28" s="303">
        <f t="shared" si="10"/>
        <v>415.56075336914893</v>
      </c>
      <c r="U28" s="303">
        <f t="shared" si="10"/>
        <v>415.56075336914893</v>
      </c>
      <c r="V28" s="303">
        <f t="shared" si="10"/>
        <v>389.78997930000003</v>
      </c>
      <c r="W28" s="303">
        <f>W36*30</f>
        <v>377.21610900000002</v>
      </c>
      <c r="X28" s="303">
        <f>X36*30</f>
        <v>427.09502655319147</v>
      </c>
      <c r="Y28" s="303">
        <f t="shared" si="10"/>
        <v>441.33152743829783</v>
      </c>
      <c r="Z28" s="303"/>
      <c r="AB28" s="263" t="e">
        <f>NA()</f>
        <v>#N/A</v>
      </c>
    </row>
    <row r="29" spans="1:44" x14ac:dyDescent="0.25">
      <c r="A29" s="343"/>
      <c r="B29" s="350" t="s">
        <v>157</v>
      </c>
      <c r="C29" s="348">
        <f>C28+C17*(C27-C19)*C24</f>
        <v>440</v>
      </c>
      <c r="D29" s="343"/>
      <c r="E29" s="348"/>
      <c r="F29" s="348" t="s">
        <v>158</v>
      </c>
      <c r="G29" s="260" t="s">
        <v>619</v>
      </c>
      <c r="I29" s="323">
        <f>N29*N46</f>
        <v>425.83333333333337</v>
      </c>
      <c r="J29" s="260" t="s">
        <v>240</v>
      </c>
      <c r="L29" s="304"/>
      <c r="M29" s="303"/>
      <c r="N29" s="290">
        <f>$C$85</f>
        <v>14</v>
      </c>
      <c r="O29" s="290">
        <f t="shared" ref="O29:Y29" si="11">$C$85</f>
        <v>14</v>
      </c>
      <c r="P29" s="290">
        <f>$C$86+($C$85-$C$86)*0.85</f>
        <v>14</v>
      </c>
      <c r="Q29" s="290">
        <f>$C$86+($C$85-$C$86)*0.5</f>
        <v>14</v>
      </c>
      <c r="R29" s="290">
        <f>$C$86+($C$85-$C$86)*0.17</f>
        <v>14</v>
      </c>
      <c r="S29" s="290">
        <f>$C$86</f>
        <v>14</v>
      </c>
      <c r="T29" s="290">
        <f>$C$86</f>
        <v>14</v>
      </c>
      <c r="U29" s="290">
        <f>$C$86+($C$85-$C$86)*0.17</f>
        <v>14</v>
      </c>
      <c r="V29" s="290">
        <f>$C$86+($C$85-$C$86)*0.5</f>
        <v>14</v>
      </c>
      <c r="W29" s="290">
        <f>$C$86+($C$85-$C$86)*0.85</f>
        <v>14</v>
      </c>
      <c r="X29" s="290">
        <f>$C$86+($C$85-$C$86)*1</f>
        <v>14</v>
      </c>
      <c r="Y29" s="290">
        <f t="shared" si="11"/>
        <v>14</v>
      </c>
      <c r="Z29" s="303"/>
      <c r="AB29" s="322">
        <f>Y29</f>
        <v>14</v>
      </c>
      <c r="AC29" s="263" t="s">
        <v>6</v>
      </c>
      <c r="AD29" s="260" t="str">
        <f>VLOOKUP(J13, '-calcs-'!O219:P228, 2, FALSE)</f>
        <v>AD212:AE223</v>
      </c>
      <c r="AE29" s="260" t="s">
        <v>458</v>
      </c>
    </row>
    <row r="30" spans="1:44" x14ac:dyDescent="0.25">
      <c r="A30" s="343"/>
      <c r="B30" s="350" t="s">
        <v>55</v>
      </c>
      <c r="C30" s="348">
        <f>C25*C24*C9</f>
        <v>6640</v>
      </c>
      <c r="D30" s="348" t="s">
        <v>31</v>
      </c>
      <c r="E30" s="343"/>
      <c r="F30" s="360" t="s">
        <v>931</v>
      </c>
      <c r="I30" s="305">
        <f>I29/N46</f>
        <v>14</v>
      </c>
      <c r="J30" s="260" t="s">
        <v>241</v>
      </c>
      <c r="N30" s="290">
        <f t="shared" ref="N30:Y31" si="12">$X62</f>
        <v>10</v>
      </c>
      <c r="O30" s="290">
        <f t="shared" si="12"/>
        <v>10</v>
      </c>
      <c r="P30" s="290">
        <f t="shared" si="12"/>
        <v>10</v>
      </c>
      <c r="Q30" s="290">
        <f t="shared" si="12"/>
        <v>10</v>
      </c>
      <c r="R30" s="290">
        <f t="shared" si="12"/>
        <v>10</v>
      </c>
      <c r="S30" s="290">
        <f t="shared" si="12"/>
        <v>10</v>
      </c>
      <c r="T30" s="290">
        <f t="shared" si="12"/>
        <v>10</v>
      </c>
      <c r="U30" s="290">
        <f t="shared" si="12"/>
        <v>10</v>
      </c>
      <c r="V30" s="290">
        <f t="shared" si="12"/>
        <v>10</v>
      </c>
      <c r="W30" s="290">
        <f t="shared" si="12"/>
        <v>10</v>
      </c>
      <c r="X30" s="290">
        <f t="shared" si="12"/>
        <v>10</v>
      </c>
      <c r="Y30" s="290">
        <f t="shared" si="12"/>
        <v>10</v>
      </c>
      <c r="AB30" s="285" t="s">
        <v>904</v>
      </c>
      <c r="AC30" s="263" t="s">
        <v>299</v>
      </c>
      <c r="AD30" s="260" t="str">
        <f>VLOOKUP(AE17,'-calcs-'!O219:P228,2,FALSE)</f>
        <v>AD212:AE223</v>
      </c>
      <c r="AE30" s="260" t="s">
        <v>459</v>
      </c>
    </row>
    <row r="31" spans="1:44" x14ac:dyDescent="0.25">
      <c r="A31" s="343"/>
      <c r="B31" s="350" t="s">
        <v>57</v>
      </c>
      <c r="C31" s="354" t="str">
        <f>IF(((C25-1)*C13)&gt;C15, "Yes", "No")</f>
        <v>No</v>
      </c>
      <c r="D31" s="348" t="s">
        <v>101</v>
      </c>
      <c r="E31" s="343">
        <f>(C25-1)*C13</f>
        <v>10.55</v>
      </c>
      <c r="F31" s="356" t="s">
        <v>58</v>
      </c>
      <c r="G31" s="260" t="s">
        <v>102</v>
      </c>
      <c r="I31" s="306" t="s">
        <v>73</v>
      </c>
      <c r="J31" s="260" t="s">
        <v>242</v>
      </c>
      <c r="N31" s="290">
        <f t="shared" si="12"/>
        <v>27.4</v>
      </c>
      <c r="O31" s="290">
        <f t="shared" si="12"/>
        <v>27.4</v>
      </c>
      <c r="P31" s="290">
        <f t="shared" si="12"/>
        <v>27.4</v>
      </c>
      <c r="Q31" s="290">
        <f t="shared" si="12"/>
        <v>27.4</v>
      </c>
      <c r="R31" s="290">
        <f t="shared" si="12"/>
        <v>27.4</v>
      </c>
      <c r="S31" s="290">
        <f t="shared" si="12"/>
        <v>27.4</v>
      </c>
      <c r="T31" s="290">
        <f t="shared" si="12"/>
        <v>27.4</v>
      </c>
      <c r="U31" s="290">
        <f t="shared" si="12"/>
        <v>27.4</v>
      </c>
      <c r="V31" s="290">
        <f t="shared" si="12"/>
        <v>27.4</v>
      </c>
      <c r="W31" s="290">
        <f t="shared" si="12"/>
        <v>27.4</v>
      </c>
      <c r="X31" s="290">
        <f t="shared" si="12"/>
        <v>27.4</v>
      </c>
      <c r="Y31" s="290">
        <f t="shared" si="12"/>
        <v>27.4</v>
      </c>
      <c r="AC31" s="263" t="s">
        <v>7</v>
      </c>
      <c r="AD31" s="260" t="e">
        <f>VLOOKUP(AE19, '-calcs-'!O219:P228, 2, FALSE)</f>
        <v>#N/A</v>
      </c>
      <c r="AE31" s="260" t="s">
        <v>460</v>
      </c>
    </row>
    <row r="32" spans="1:44" x14ac:dyDescent="0.25">
      <c r="A32" s="361"/>
      <c r="B32" s="350" t="s">
        <v>60</v>
      </c>
      <c r="C32" s="351">
        <f>1.5*C13</f>
        <v>15.825000000000001</v>
      </c>
      <c r="D32" s="348" t="s">
        <v>6</v>
      </c>
      <c r="E32" s="343"/>
      <c r="F32" s="348" t="s">
        <v>61</v>
      </c>
      <c r="G32" s="260" t="s">
        <v>103</v>
      </c>
      <c r="J32" s="260" t="s">
        <v>203</v>
      </c>
      <c r="N32" s="303">
        <f t="shared" ref="N32:Y32" si="13">$Q60</f>
        <v>1.9998</v>
      </c>
      <c r="O32" s="303">
        <f t="shared" si="13"/>
        <v>1.9998</v>
      </c>
      <c r="P32" s="303">
        <f t="shared" si="13"/>
        <v>1.9998</v>
      </c>
      <c r="Q32" s="303">
        <f t="shared" si="13"/>
        <v>1.9998</v>
      </c>
      <c r="R32" s="303">
        <f t="shared" si="13"/>
        <v>1.9998</v>
      </c>
      <c r="S32" s="303">
        <f t="shared" si="13"/>
        <v>1.9998</v>
      </c>
      <c r="T32" s="303">
        <f t="shared" si="13"/>
        <v>1.9998</v>
      </c>
      <c r="U32" s="303">
        <f t="shared" si="13"/>
        <v>1.9998</v>
      </c>
      <c r="V32" s="303">
        <f t="shared" si="13"/>
        <v>1.9998</v>
      </c>
      <c r="W32" s="303">
        <f t="shared" si="13"/>
        <v>1.9998</v>
      </c>
      <c r="X32" s="303">
        <f t="shared" si="13"/>
        <v>1.9998</v>
      </c>
      <c r="Y32" s="303">
        <f t="shared" si="13"/>
        <v>1.9998</v>
      </c>
      <c r="Z32" s="303"/>
    </row>
    <row r="33" spans="1:27" x14ac:dyDescent="0.25">
      <c r="A33" s="350"/>
      <c r="B33" s="350" t="s">
        <v>63</v>
      </c>
      <c r="C33" s="351">
        <f>IF(2.4*C13&lt;C15, 2.4*C13, C15)</f>
        <v>20</v>
      </c>
      <c r="D33" s="348" t="s">
        <v>6</v>
      </c>
      <c r="E33" s="343"/>
      <c r="F33" s="348" t="s">
        <v>64</v>
      </c>
      <c r="G33" s="260" t="s">
        <v>103</v>
      </c>
      <c r="I33" s="307">
        <f>X62/X64</f>
        <v>0.26737967914438504</v>
      </c>
      <c r="J33" s="260" t="s">
        <v>204</v>
      </c>
      <c r="N33" s="303">
        <f t="shared" ref="N33:Y33" si="14">$L44</f>
        <v>0.115</v>
      </c>
      <c r="O33" s="303">
        <f t="shared" si="14"/>
        <v>0.115</v>
      </c>
      <c r="P33" s="303">
        <f t="shared" si="14"/>
        <v>0.115</v>
      </c>
      <c r="Q33" s="303">
        <f t="shared" si="14"/>
        <v>0.115</v>
      </c>
      <c r="R33" s="303">
        <f t="shared" si="14"/>
        <v>0.115</v>
      </c>
      <c r="S33" s="303">
        <f t="shared" si="14"/>
        <v>0.115</v>
      </c>
      <c r="T33" s="303">
        <f t="shared" si="14"/>
        <v>0.115</v>
      </c>
      <c r="U33" s="303">
        <f t="shared" si="14"/>
        <v>0.115</v>
      </c>
      <c r="V33" s="303">
        <f t="shared" si="14"/>
        <v>0.115</v>
      </c>
      <c r="W33" s="303">
        <f t="shared" si="14"/>
        <v>0.115</v>
      </c>
      <c r="X33" s="303">
        <f t="shared" si="14"/>
        <v>0.115</v>
      </c>
      <c r="Y33" s="303">
        <f t="shared" si="14"/>
        <v>0.115</v>
      </c>
      <c r="Z33" s="290">
        <f ca="1">Z25*Y33*100</f>
        <v>336.1248699540875</v>
      </c>
      <c r="AA33" s="260" t="s">
        <v>243</v>
      </c>
    </row>
    <row r="34" spans="1:27" ht="15" customHeight="1" x14ac:dyDescent="0.25">
      <c r="A34" s="350"/>
      <c r="B34" s="350" t="s">
        <v>66</v>
      </c>
      <c r="C34" s="357">
        <f>IF(C32=15, 15, 20)</f>
        <v>20</v>
      </c>
      <c r="D34" s="348" t="s">
        <v>6</v>
      </c>
      <c r="E34" s="343" t="s">
        <v>106</v>
      </c>
      <c r="F34" s="348"/>
      <c r="I34" s="308" t="s">
        <v>244</v>
      </c>
      <c r="J34" s="260" t="s">
        <v>245</v>
      </c>
      <c r="N34" s="303">
        <f>N67</f>
        <v>0.49249547280141825</v>
      </c>
      <c r="O34" s="303">
        <f t="shared" ref="O34:Y35" si="15">O67</f>
        <v>0.49249547280141825</v>
      </c>
      <c r="P34" s="303">
        <f t="shared" si="15"/>
        <v>0.49249547280141825</v>
      </c>
      <c r="Q34" s="303">
        <f t="shared" si="15"/>
        <v>0.42343858999999995</v>
      </c>
      <c r="R34" s="303">
        <f t="shared" si="15"/>
        <v>0.42343858999999995</v>
      </c>
      <c r="S34" s="303">
        <f t="shared" si="15"/>
        <v>0.42343858999999995</v>
      </c>
      <c r="T34" s="303">
        <f t="shared" si="15"/>
        <v>0.42343858999999995</v>
      </c>
      <c r="U34" s="303">
        <f t="shared" si="15"/>
        <v>0.42343858999999995</v>
      </c>
      <c r="V34" s="303">
        <f t="shared" si="15"/>
        <v>0.42343858999999995</v>
      </c>
      <c r="W34" s="303">
        <f t="shared" si="15"/>
        <v>0.42343858999999995</v>
      </c>
      <c r="X34" s="303">
        <f t="shared" si="15"/>
        <v>0.49249547280141825</v>
      </c>
      <c r="Y34" s="303">
        <f t="shared" si="15"/>
        <v>0.49249547280141825</v>
      </c>
      <c r="Z34" s="324"/>
      <c r="AA34" s="263"/>
    </row>
    <row r="35" spans="1:27" x14ac:dyDescent="0.25">
      <c r="A35" s="350"/>
      <c r="B35" s="350" t="s">
        <v>108</v>
      </c>
      <c r="C35" s="348">
        <f>VLOOKUP(C$5, '-calcs-'!$B$721:$AA$732, 24, FALSE)</f>
        <v>21</v>
      </c>
      <c r="D35" s="348" t="s">
        <v>9</v>
      </c>
      <c r="E35" s="343" t="str">
        <f>VLOOKUP(C35, '-calcs-'!$A$645:$U$666, 2, FALSE)</f>
        <v>SmartSolar MPPT 450/100 Tr</v>
      </c>
      <c r="F35" s="348"/>
      <c r="I35" s="307">
        <f>X63/X64</f>
        <v>0.73262032085561501</v>
      </c>
      <c r="J35" s="260" t="s">
        <v>246</v>
      </c>
      <c r="N35" s="303">
        <f>N68</f>
        <v>0.26685204952891234</v>
      </c>
      <c r="O35" s="303">
        <f t="shared" si="15"/>
        <v>0.26685204952891234</v>
      </c>
      <c r="P35" s="303">
        <f t="shared" si="15"/>
        <v>0.26685204952891234</v>
      </c>
      <c r="Q35" s="303">
        <f t="shared" si="15"/>
        <v>0.23137534306569346</v>
      </c>
      <c r="R35" s="303">
        <f t="shared" si="15"/>
        <v>0.23137534306569346</v>
      </c>
      <c r="S35" s="303">
        <f t="shared" si="15"/>
        <v>0.26210209507169846</v>
      </c>
      <c r="T35" s="303">
        <f t="shared" si="15"/>
        <v>0.26210209507169846</v>
      </c>
      <c r="U35" s="303">
        <f t="shared" si="15"/>
        <v>0.26210209507169846</v>
      </c>
      <c r="V35" s="303">
        <f t="shared" si="15"/>
        <v>0.23137534306569346</v>
      </c>
      <c r="W35" s="303">
        <f t="shared" si="15"/>
        <v>0.23137534306569346</v>
      </c>
      <c r="X35" s="303">
        <f t="shared" si="15"/>
        <v>0.26685204952891234</v>
      </c>
      <c r="Y35" s="303">
        <f t="shared" si="15"/>
        <v>0.26685204952891234</v>
      </c>
      <c r="Z35" s="324"/>
      <c r="AA35" s="263" t="s">
        <v>247</v>
      </c>
    </row>
    <row r="36" spans="1:27" x14ac:dyDescent="0.25">
      <c r="A36" s="350"/>
      <c r="B36" s="350" t="s">
        <v>109</v>
      </c>
      <c r="C36" s="325">
        <v>4000</v>
      </c>
      <c r="D36" s="348" t="s">
        <v>31</v>
      </c>
      <c r="E36" s="343" t="s">
        <v>111</v>
      </c>
      <c r="F36" s="348"/>
      <c r="I36" s="308" t="s">
        <v>244</v>
      </c>
      <c r="J36" s="260" t="s">
        <v>206</v>
      </c>
      <c r="N36" s="303">
        <f>N70</f>
        <v>14.236500885106382</v>
      </c>
      <c r="O36" s="303">
        <f t="shared" ref="O36:Y36" si="16">O70</f>
        <v>14.236500885106382</v>
      </c>
      <c r="P36" s="303">
        <f t="shared" si="16"/>
        <v>14.236500885106382</v>
      </c>
      <c r="Q36" s="303">
        <f t="shared" si="16"/>
        <v>12.573870300000001</v>
      </c>
      <c r="R36" s="303">
        <f t="shared" si="16"/>
        <v>12.573870300000001</v>
      </c>
      <c r="S36" s="303">
        <f t="shared" si="16"/>
        <v>13.405185592553192</v>
      </c>
      <c r="T36" s="303">
        <f t="shared" si="16"/>
        <v>13.405185592553192</v>
      </c>
      <c r="U36" s="303">
        <f t="shared" si="16"/>
        <v>13.405185592553192</v>
      </c>
      <c r="V36" s="303">
        <f t="shared" si="16"/>
        <v>12.573870300000001</v>
      </c>
      <c r="W36" s="303">
        <f t="shared" si="16"/>
        <v>12.573870300000001</v>
      </c>
      <c r="X36" s="303">
        <f t="shared" si="16"/>
        <v>14.236500885106382</v>
      </c>
      <c r="Y36" s="303">
        <f t="shared" si="16"/>
        <v>14.236500885106382</v>
      </c>
      <c r="AA36" s="263" t="s">
        <v>140</v>
      </c>
    </row>
    <row r="37" spans="1:27" x14ac:dyDescent="0.25">
      <c r="A37" s="350"/>
      <c r="B37" s="350" t="s">
        <v>217</v>
      </c>
      <c r="C37" s="325" t="str">
        <f>Calculator!E5</f>
        <v>Sydney</v>
      </c>
      <c r="D37" s="325"/>
      <c r="E37" s="362"/>
      <c r="F37" s="348" t="s">
        <v>455</v>
      </c>
      <c r="J37" s="260" t="s">
        <v>207</v>
      </c>
      <c r="N37" s="303">
        <f t="shared" ref="N37:Y37" si="17">IF($AA36="No", IF($AA38="Yes", (N47*N68+N50*N67)+N32, N30*$AA58*N67+N31*N68+N32), 0)</f>
        <v>0</v>
      </c>
      <c r="O37" s="303">
        <f t="shared" si="17"/>
        <v>0</v>
      </c>
      <c r="P37" s="303">
        <f t="shared" si="17"/>
        <v>0</v>
      </c>
      <c r="Q37" s="303">
        <f t="shared" si="17"/>
        <v>0</v>
      </c>
      <c r="R37" s="303">
        <f t="shared" si="17"/>
        <v>0</v>
      </c>
      <c r="S37" s="303">
        <f t="shared" si="17"/>
        <v>0</v>
      </c>
      <c r="T37" s="303">
        <f t="shared" si="17"/>
        <v>0</v>
      </c>
      <c r="U37" s="303">
        <f t="shared" si="17"/>
        <v>0</v>
      </c>
      <c r="V37" s="303">
        <f t="shared" si="17"/>
        <v>0</v>
      </c>
      <c r="W37" s="303">
        <f t="shared" si="17"/>
        <v>0</v>
      </c>
      <c r="X37" s="303">
        <f t="shared" si="17"/>
        <v>0</v>
      </c>
      <c r="Y37" s="303">
        <f t="shared" si="17"/>
        <v>0</v>
      </c>
      <c r="Z37" s="303">
        <f>AVERAGE(N37:Y37)</f>
        <v>0</v>
      </c>
      <c r="AA37" s="263" t="s">
        <v>248</v>
      </c>
    </row>
    <row r="38" spans="1:27" x14ac:dyDescent="0.25">
      <c r="A38" s="350"/>
      <c r="B38" s="350" t="s">
        <v>410</v>
      </c>
      <c r="C38" s="351">
        <f>MIN(N22:Y22)</f>
        <v>2.4</v>
      </c>
      <c r="D38" s="343"/>
      <c r="E38" s="325"/>
      <c r="F38" s="348" t="s">
        <v>479</v>
      </c>
      <c r="J38" s="260" t="s">
        <v>249</v>
      </c>
      <c r="L38" s="303">
        <f ca="1">Z38*N46</f>
        <v>13.672288269146595</v>
      </c>
      <c r="M38" s="260" t="s">
        <v>250</v>
      </c>
      <c r="N38" s="303">
        <f t="shared" ref="N38:Y38" ca="1" si="18">IF($AA38="Yes", N51*N33, (N25-N30*(1-$AA58))*N33)</f>
        <v>0.33833327524118156</v>
      </c>
      <c r="O38" s="303">
        <f t="shared" ca="1" si="18"/>
        <v>0.72624525400658779</v>
      </c>
      <c r="P38" s="303">
        <f t="shared" ca="1" si="18"/>
        <v>0.66992419349179122</v>
      </c>
      <c r="Q38" s="303">
        <f t="shared" ca="1" si="18"/>
        <v>0.58198429198623158</v>
      </c>
      <c r="R38" s="303">
        <f t="shared" ca="1" si="18"/>
        <v>0.4907095908449276</v>
      </c>
      <c r="S38" s="303">
        <f t="shared" ca="1" si="18"/>
        <v>0.4209258206895326</v>
      </c>
      <c r="T38" s="303">
        <f t="shared" ca="1" si="18"/>
        <v>0.47020674863997958</v>
      </c>
      <c r="U38" s="303">
        <f t="shared" ca="1" si="18"/>
        <v>0.5780319368623863</v>
      </c>
      <c r="V38" s="303">
        <f t="shared" ca="1" si="18"/>
        <v>0.67918752581330388</v>
      </c>
      <c r="W38" s="303">
        <f t="shared" ca="1" si="18"/>
        <v>3.5978108267009916E-2</v>
      </c>
      <c r="X38" s="303">
        <f t="shared" ca="1" si="18"/>
        <v>8.6370636096037845E-2</v>
      </c>
      <c r="Y38" s="303">
        <f t="shared" ca="1" si="18"/>
        <v>0.3161012776695506</v>
      </c>
      <c r="Z38" s="303">
        <f ca="1">AVERAGE(N38:Y38)</f>
        <v>0.44949988830070997</v>
      </c>
      <c r="AA38" s="263" t="s">
        <v>140</v>
      </c>
    </row>
    <row r="39" spans="1:27" x14ac:dyDescent="0.25">
      <c r="A39" s="350"/>
      <c r="B39" s="350" t="s">
        <v>446</v>
      </c>
      <c r="C39" s="362">
        <v>0.95</v>
      </c>
      <c r="D39" s="343"/>
      <c r="E39" s="343"/>
      <c r="F39" s="348"/>
      <c r="J39" s="260" t="s">
        <v>209</v>
      </c>
      <c r="N39" s="303">
        <f ca="1">N37-N38</f>
        <v>-0.33833327524118156</v>
      </c>
      <c r="O39" s="303">
        <f t="shared" ref="O39:Y39" ca="1" si="19">O37-O38</f>
        <v>-0.72624525400658779</v>
      </c>
      <c r="P39" s="303">
        <f t="shared" ca="1" si="19"/>
        <v>-0.66992419349179122</v>
      </c>
      <c r="Q39" s="303">
        <f t="shared" ca="1" si="19"/>
        <v>-0.58198429198623158</v>
      </c>
      <c r="R39" s="303">
        <f t="shared" ca="1" si="19"/>
        <v>-0.4907095908449276</v>
      </c>
      <c r="S39" s="303">
        <f t="shared" ca="1" si="19"/>
        <v>-0.4209258206895326</v>
      </c>
      <c r="T39" s="303">
        <f t="shared" ca="1" si="19"/>
        <v>-0.47020674863997958</v>
      </c>
      <c r="U39" s="303">
        <f t="shared" ca="1" si="19"/>
        <v>-0.5780319368623863</v>
      </c>
      <c r="V39" s="303">
        <f t="shared" ca="1" si="19"/>
        <v>-0.67918752581330388</v>
      </c>
      <c r="W39" s="303">
        <f t="shared" ca="1" si="19"/>
        <v>-3.5978108267009916E-2</v>
      </c>
      <c r="X39" s="303">
        <f t="shared" ca="1" si="19"/>
        <v>-8.6370636096037845E-2</v>
      </c>
      <c r="Y39" s="303">
        <f t="shared" ca="1" si="19"/>
        <v>-0.3161012776695506</v>
      </c>
      <c r="Z39" s="303">
        <f ca="1">AVERAGE(N39:Y39)</f>
        <v>-0.44949988830070997</v>
      </c>
    </row>
    <row r="40" spans="1:27" x14ac:dyDescent="0.25">
      <c r="A40" s="350"/>
      <c r="B40" s="350" t="s">
        <v>218</v>
      </c>
      <c r="C40" s="325">
        <f>Calculator!F8</f>
        <v>20</v>
      </c>
      <c r="D40" s="343"/>
      <c r="E40" s="343"/>
      <c r="F40" s="348"/>
      <c r="J40" s="260" t="s">
        <v>210</v>
      </c>
      <c r="L40" s="303">
        <f ca="1">Z40*-1</f>
        <v>13.60556286760494</v>
      </c>
      <c r="N40" s="303">
        <f ca="1">N39*31</f>
        <v>-10.488331532476629</v>
      </c>
      <c r="O40" s="303">
        <f ca="1">O39*28</f>
        <v>-20.334867112184458</v>
      </c>
      <c r="P40" s="303">
        <f ca="1">P39*31</f>
        <v>-20.767649998245528</v>
      </c>
      <c r="Q40" s="303">
        <f t="shared" ref="Q40:X40" ca="1" si="20">Q39*30</f>
        <v>-17.459528759586949</v>
      </c>
      <c r="R40" s="303">
        <f ca="1">R39*31</f>
        <v>-15.211997316192756</v>
      </c>
      <c r="S40" s="303">
        <f t="shared" ca="1" si="20"/>
        <v>-12.627774620685978</v>
      </c>
      <c r="T40" s="303">
        <f ca="1">T39*31</f>
        <v>-14.576409207839367</v>
      </c>
      <c r="U40" s="303">
        <f ca="1">U39*31</f>
        <v>-17.918990042733974</v>
      </c>
      <c r="V40" s="303">
        <f t="shared" ca="1" si="20"/>
        <v>-20.375625774399115</v>
      </c>
      <c r="W40" s="303">
        <f ca="1">W39*31</f>
        <v>-1.1153213562773074</v>
      </c>
      <c r="X40" s="303">
        <f t="shared" ca="1" si="20"/>
        <v>-2.5911190828811352</v>
      </c>
      <c r="Y40" s="303">
        <f ca="1">Y39*31</f>
        <v>-9.799139607756068</v>
      </c>
      <c r="Z40" s="303">
        <f ca="1">AVERAGE(N40:Y40)</f>
        <v>-13.60556286760494</v>
      </c>
      <c r="AA40" s="260" t="s">
        <v>211</v>
      </c>
    </row>
    <row r="41" spans="1:27" x14ac:dyDescent="0.25">
      <c r="A41" s="350"/>
      <c r="B41" s="350" t="s">
        <v>219</v>
      </c>
      <c r="C41" s="325">
        <f>Calculator!E8</f>
        <v>20</v>
      </c>
      <c r="D41" s="343"/>
      <c r="E41" s="343"/>
      <c r="F41" s="348"/>
      <c r="J41" s="260" t="s">
        <v>212</v>
      </c>
      <c r="L41" s="303">
        <f ca="1">Z41/12</f>
        <v>423.65223036654106</v>
      </c>
      <c r="M41" s="260" t="s">
        <v>250</v>
      </c>
      <c r="N41" s="303">
        <f ca="1">IF(SIGN(N40)=1, N28-N40, N28+ABS(N40))</f>
        <v>451.81985897077448</v>
      </c>
      <c r="O41" s="303">
        <f t="shared" ref="O41:Y41" ca="1" si="21">IF(SIGN(O40)=1, O28-O40, O28+ABS(O40))</f>
        <v>422.51601711643974</v>
      </c>
      <c r="P41" s="303">
        <f t="shared" ca="1" si="21"/>
        <v>462.09917743654336</v>
      </c>
      <c r="Q41" s="303">
        <f t="shared" ca="1" si="21"/>
        <v>394.67563775958695</v>
      </c>
      <c r="R41" s="303">
        <f t="shared" ca="1" si="21"/>
        <v>405.00197661619279</v>
      </c>
      <c r="S41" s="303">
        <f t="shared" ca="1" si="21"/>
        <v>414.78334239728173</v>
      </c>
      <c r="T41" s="303">
        <f t="shared" ca="1" si="21"/>
        <v>430.13716257698832</v>
      </c>
      <c r="U41" s="303">
        <f t="shared" ca="1" si="21"/>
        <v>433.47974341188291</v>
      </c>
      <c r="V41" s="303">
        <f t="shared" ca="1" si="21"/>
        <v>410.16560507439914</v>
      </c>
      <c r="W41" s="303">
        <f t="shared" ca="1" si="21"/>
        <v>378.33143035627734</v>
      </c>
      <c r="X41" s="303">
        <f t="shared" ca="1" si="21"/>
        <v>429.68614563607258</v>
      </c>
      <c r="Y41" s="303">
        <f t="shared" ca="1" si="21"/>
        <v>451.13066704605387</v>
      </c>
      <c r="Z41" s="303">
        <f ca="1">SUM(N41:Y41)</f>
        <v>5083.8267643984927</v>
      </c>
      <c r="AA41" s="260" t="s">
        <v>213</v>
      </c>
    </row>
    <row r="42" spans="1:27" x14ac:dyDescent="0.25">
      <c r="A42" s="343"/>
      <c r="B42" s="343"/>
      <c r="C42" s="343"/>
      <c r="D42" s="343"/>
      <c r="E42" s="343"/>
      <c r="F42" s="348"/>
      <c r="J42" s="260" t="s">
        <v>215</v>
      </c>
      <c r="L42" s="326">
        <f ca="1">ABS(N42)/Z41</f>
        <v>0</v>
      </c>
      <c r="M42" s="260" t="s">
        <v>68</v>
      </c>
      <c r="N42" s="327">
        <f>L45*-1</f>
        <v>0</v>
      </c>
      <c r="O42" s="303">
        <f t="shared" ref="O42:Z42" ca="1" si="22">$Z41</f>
        <v>5083.8267643984927</v>
      </c>
      <c r="P42" s="303">
        <f t="shared" ca="1" si="22"/>
        <v>5083.8267643984927</v>
      </c>
      <c r="Q42" s="303">
        <f t="shared" ca="1" si="22"/>
        <v>5083.8267643984927</v>
      </c>
      <c r="R42" s="303">
        <f t="shared" ca="1" si="22"/>
        <v>5083.8267643984927</v>
      </c>
      <c r="S42" s="303">
        <f t="shared" ca="1" si="22"/>
        <v>5083.8267643984927</v>
      </c>
      <c r="T42" s="303">
        <f t="shared" ca="1" si="22"/>
        <v>5083.8267643984927</v>
      </c>
      <c r="U42" s="303">
        <f t="shared" ca="1" si="22"/>
        <v>5083.8267643984927</v>
      </c>
      <c r="V42" s="303">
        <f t="shared" ca="1" si="22"/>
        <v>5083.8267643984927</v>
      </c>
      <c r="W42" s="303">
        <f t="shared" ca="1" si="22"/>
        <v>5083.8267643984927</v>
      </c>
      <c r="X42" s="303">
        <f t="shared" ca="1" si="22"/>
        <v>5083.8267643984927</v>
      </c>
      <c r="Y42" s="303">
        <f t="shared" ca="1" si="22"/>
        <v>5083.8267643984927</v>
      </c>
      <c r="Z42" s="303">
        <f t="shared" ca="1" si="22"/>
        <v>5083.8267643984927</v>
      </c>
    </row>
    <row r="43" spans="1:27" x14ac:dyDescent="0.25">
      <c r="A43" s="343"/>
      <c r="B43" s="361" t="s">
        <v>411</v>
      </c>
      <c r="C43" s="343">
        <f>Calculator!E16</f>
        <v>29.952000000000002</v>
      </c>
      <c r="D43" s="343" t="s">
        <v>114</v>
      </c>
      <c r="E43" s="343"/>
      <c r="F43" s="348"/>
      <c r="J43" s="260" t="s">
        <v>214</v>
      </c>
      <c r="L43" s="328">
        <f ca="1">SUM(N43:Z43)</f>
        <v>61005.921172781927</v>
      </c>
      <c r="M43" s="260" t="s">
        <v>251</v>
      </c>
      <c r="N43" s="327">
        <f t="shared" ref="N43:Z43" si="23">N42/(1+$M45)^N44</f>
        <v>0</v>
      </c>
      <c r="O43" s="327">
        <f t="shared" ca="1" si="23"/>
        <v>5083.8267643984927</v>
      </c>
      <c r="P43" s="327">
        <f t="shared" ca="1" si="23"/>
        <v>5083.8267643984927</v>
      </c>
      <c r="Q43" s="327">
        <f t="shared" ca="1" si="23"/>
        <v>5083.8267643984927</v>
      </c>
      <c r="R43" s="327">
        <f t="shared" ca="1" si="23"/>
        <v>5083.8267643984927</v>
      </c>
      <c r="S43" s="327">
        <f t="shared" ca="1" si="23"/>
        <v>5083.8267643984927</v>
      </c>
      <c r="T43" s="327">
        <f t="shared" ca="1" si="23"/>
        <v>5083.8267643984927</v>
      </c>
      <c r="U43" s="327">
        <f t="shared" ca="1" si="23"/>
        <v>5083.8267643984927</v>
      </c>
      <c r="V43" s="327">
        <f t="shared" ca="1" si="23"/>
        <v>5083.8267643984927</v>
      </c>
      <c r="W43" s="327">
        <f t="shared" ca="1" si="23"/>
        <v>5083.8267643984927</v>
      </c>
      <c r="X43" s="327">
        <f t="shared" ca="1" si="23"/>
        <v>5083.8267643984927</v>
      </c>
      <c r="Y43" s="327">
        <f t="shared" ca="1" si="23"/>
        <v>5083.8267643984927</v>
      </c>
      <c r="Z43" s="327">
        <f t="shared" ca="1" si="23"/>
        <v>5083.8267643984927</v>
      </c>
    </row>
    <row r="44" spans="1:27" x14ac:dyDescent="0.25">
      <c r="A44" s="363" t="s">
        <v>112</v>
      </c>
      <c r="B44" s="350" t="s">
        <v>113</v>
      </c>
      <c r="C44" s="357">
        <f>C49*C50</f>
        <v>24</v>
      </c>
      <c r="D44" s="343"/>
      <c r="E44" s="343"/>
      <c r="F44" s="348" t="s">
        <v>175</v>
      </c>
      <c r="J44" s="260" t="s">
        <v>204</v>
      </c>
      <c r="L44" s="260">
        <v>0.115</v>
      </c>
      <c r="M44" s="298" t="s">
        <v>252</v>
      </c>
      <c r="N44" s="263">
        <v>0</v>
      </c>
      <c r="O44" s="263">
        <v>1</v>
      </c>
      <c r="P44" s="263">
        <v>2</v>
      </c>
      <c r="Q44" s="263">
        <v>3</v>
      </c>
      <c r="R44" s="263">
        <v>4</v>
      </c>
      <c r="S44" s="263">
        <v>5</v>
      </c>
      <c r="T44" s="263">
        <v>6</v>
      </c>
      <c r="U44" s="263">
        <v>7</v>
      </c>
      <c r="V44" s="263">
        <v>8</v>
      </c>
      <c r="W44" s="263">
        <v>9</v>
      </c>
      <c r="X44" s="263">
        <v>10</v>
      </c>
      <c r="Y44" s="263">
        <v>11</v>
      </c>
      <c r="Z44" s="263">
        <v>12</v>
      </c>
    </row>
    <row r="45" spans="1:27" x14ac:dyDescent="0.25">
      <c r="A45" s="363"/>
      <c r="B45" s="350" t="s">
        <v>164</v>
      </c>
      <c r="C45" s="325" t="str">
        <f>VLOOKUP(C$43, '-calcs-'!$B$736:$M$752, 9, FALSE)</f>
        <v>Gel</v>
      </c>
      <c r="D45" s="343"/>
      <c r="E45" s="343"/>
      <c r="F45" s="348"/>
      <c r="J45" s="260" t="s">
        <v>216</v>
      </c>
      <c r="L45" s="309">
        <f>E42</f>
        <v>0</v>
      </c>
      <c r="M45" s="295">
        <v>0</v>
      </c>
      <c r="N45" s="411" t="s">
        <v>253</v>
      </c>
      <c r="O45" s="411"/>
      <c r="P45" s="411"/>
      <c r="Q45" s="411"/>
      <c r="R45" s="411"/>
      <c r="S45" s="411"/>
      <c r="T45" s="411"/>
      <c r="U45" s="411"/>
      <c r="V45" s="411"/>
      <c r="W45" s="411"/>
      <c r="X45" s="411"/>
    </row>
    <row r="46" spans="1:27" x14ac:dyDescent="0.25">
      <c r="A46" s="363"/>
      <c r="B46" s="350" t="s">
        <v>0</v>
      </c>
      <c r="C46" s="364" t="str">
        <f>VLOOKUP(VLOOKUP(C$43, '-calcs-'!$B$736:$M$752, 2, FALSE), '-calcs-'!$A$684:$Q$699, 2, FALSE)</f>
        <v>GNB 676Ah Gel</v>
      </c>
      <c r="D46" s="343"/>
      <c r="E46" s="343"/>
      <c r="F46" s="348"/>
      <c r="N46" s="290">
        <f>365/12</f>
        <v>30.416666666666668</v>
      </c>
      <c r="O46" s="260" t="s">
        <v>254</v>
      </c>
    </row>
    <row r="47" spans="1:27" x14ac:dyDescent="0.25">
      <c r="A47" s="363"/>
      <c r="B47" s="350" t="s">
        <v>162</v>
      </c>
      <c r="C47" s="365">
        <f>VLOOKUP(VLOOKUP(C$43, '-calcs-'!$B$736:$M$752, 2, FALSE), '-calcs-'!$A$684:$Q$699, 4, FALSE)</f>
        <v>624</v>
      </c>
      <c r="D47" s="343" t="s">
        <v>11</v>
      </c>
      <c r="E47" s="343"/>
      <c r="F47" s="348"/>
      <c r="I47" s="260" t="s">
        <v>255</v>
      </c>
      <c r="J47" s="260" t="s">
        <v>256</v>
      </c>
      <c r="N47" s="290">
        <f t="shared" ref="N47:Y47" si="24">IF($L17*(1+$AA59)&gt;N31, N31*($AA59/(1+$AA59)), N31-$L17)</f>
        <v>0.79805825242718431</v>
      </c>
      <c r="O47" s="290">
        <f t="shared" si="24"/>
        <v>0.79805825242718431</v>
      </c>
      <c r="P47" s="290">
        <f t="shared" si="24"/>
        <v>0.79805825242718431</v>
      </c>
      <c r="Q47" s="290">
        <f t="shared" si="24"/>
        <v>0.79805825242718431</v>
      </c>
      <c r="R47" s="290">
        <f t="shared" si="24"/>
        <v>0.79805825242718431</v>
      </c>
      <c r="S47" s="290">
        <f t="shared" si="24"/>
        <v>0.79805825242718431</v>
      </c>
      <c r="T47" s="290">
        <f t="shared" si="24"/>
        <v>0.79805825242718431</v>
      </c>
      <c r="U47" s="290">
        <f t="shared" si="24"/>
        <v>0.79805825242718431</v>
      </c>
      <c r="V47" s="290">
        <f t="shared" si="24"/>
        <v>0.79805825242718431</v>
      </c>
      <c r="W47" s="290">
        <f t="shared" si="24"/>
        <v>0.79805825242718431</v>
      </c>
      <c r="X47" s="290">
        <f t="shared" si="24"/>
        <v>0.79805825242718431</v>
      </c>
      <c r="Y47" s="290">
        <f t="shared" si="24"/>
        <v>0.79805825242718431</v>
      </c>
    </row>
    <row r="48" spans="1:27" x14ac:dyDescent="0.25">
      <c r="A48" s="363"/>
      <c r="B48" s="350" t="s">
        <v>166</v>
      </c>
      <c r="C48" s="365">
        <f>VLOOKUP(VLOOKUP(C$43, '-calcs-'!$B$736:$M$752, 2, FALSE), '-calcs-'!$A$684:$Q$699, 3, FALSE)</f>
        <v>2</v>
      </c>
      <c r="D48" s="343" t="s">
        <v>117</v>
      </c>
      <c r="E48" s="343"/>
      <c r="F48" s="348"/>
      <c r="J48" s="260" t="s">
        <v>257</v>
      </c>
      <c r="N48" s="290">
        <f t="shared" ref="N48:Y48" si="25">IF($L17*(1+$AA59)&lt;N31, $L17, N31-N47)</f>
        <v>26.601941747572813</v>
      </c>
      <c r="O48" s="290">
        <f t="shared" si="25"/>
        <v>26.601941747572813</v>
      </c>
      <c r="P48" s="290">
        <f t="shared" si="25"/>
        <v>26.601941747572813</v>
      </c>
      <c r="Q48" s="290">
        <f t="shared" si="25"/>
        <v>26.601941747572813</v>
      </c>
      <c r="R48" s="290">
        <f t="shared" si="25"/>
        <v>26.601941747572813</v>
      </c>
      <c r="S48" s="290">
        <f t="shared" si="25"/>
        <v>26.601941747572813</v>
      </c>
      <c r="T48" s="290">
        <f t="shared" si="25"/>
        <v>26.601941747572813</v>
      </c>
      <c r="U48" s="290">
        <f t="shared" si="25"/>
        <v>26.601941747572813</v>
      </c>
      <c r="V48" s="290">
        <f t="shared" si="25"/>
        <v>26.601941747572813</v>
      </c>
      <c r="W48" s="290">
        <f t="shared" si="25"/>
        <v>26.601941747572813</v>
      </c>
      <c r="X48" s="290">
        <f t="shared" si="25"/>
        <v>26.601941747572813</v>
      </c>
      <c r="Y48" s="290">
        <f t="shared" si="25"/>
        <v>26.601941747572813</v>
      </c>
    </row>
    <row r="49" spans="1:27" x14ac:dyDescent="0.25">
      <c r="A49" s="363"/>
      <c r="B49" s="350" t="s">
        <v>161</v>
      </c>
      <c r="C49" s="365">
        <f>VLOOKUP(C$43, '-calcs-'!$B$736:$M$752, 5, FALSE)</f>
        <v>1</v>
      </c>
      <c r="D49" s="343"/>
      <c r="E49" s="343"/>
      <c r="F49" s="348"/>
      <c r="J49" s="260" t="s">
        <v>258</v>
      </c>
      <c r="N49" s="290">
        <f t="shared" ref="N49:Y49" si="26">N48/$AA57</f>
        <v>28.299938029332782</v>
      </c>
      <c r="O49" s="290">
        <f t="shared" si="26"/>
        <v>28.299938029332782</v>
      </c>
      <c r="P49" s="290">
        <f t="shared" si="26"/>
        <v>28.299938029332782</v>
      </c>
      <c r="Q49" s="290">
        <f t="shared" si="26"/>
        <v>28.299938029332782</v>
      </c>
      <c r="R49" s="290">
        <f t="shared" si="26"/>
        <v>28.299938029332782</v>
      </c>
      <c r="S49" s="290">
        <f t="shared" si="26"/>
        <v>28.299938029332782</v>
      </c>
      <c r="T49" s="290">
        <f t="shared" si="26"/>
        <v>28.299938029332782</v>
      </c>
      <c r="U49" s="290">
        <f t="shared" si="26"/>
        <v>28.299938029332782</v>
      </c>
      <c r="V49" s="290">
        <f t="shared" si="26"/>
        <v>28.299938029332782</v>
      </c>
      <c r="W49" s="290">
        <f t="shared" si="26"/>
        <v>28.299938029332782</v>
      </c>
      <c r="X49" s="290">
        <f t="shared" si="26"/>
        <v>28.299938029332782</v>
      </c>
      <c r="Y49" s="290">
        <f t="shared" si="26"/>
        <v>28.299938029332782</v>
      </c>
    </row>
    <row r="50" spans="1:27" x14ac:dyDescent="0.25">
      <c r="A50" s="363"/>
      <c r="B50" s="350" t="s">
        <v>163</v>
      </c>
      <c r="C50" s="365">
        <f>VLOOKUP(C$43, '-calcs-'!$B$736:$M$752, 4, FALSE)</f>
        <v>24</v>
      </c>
      <c r="D50" s="343"/>
      <c r="E50" s="343"/>
      <c r="F50" s="348"/>
      <c r="I50" s="260" t="s">
        <v>255</v>
      </c>
      <c r="J50" s="260" t="s">
        <v>259</v>
      </c>
      <c r="N50" s="290">
        <f t="shared" ref="N50:Y50" ca="1" si="27">IF((N49+N30)&gt;N25*(1+$AA58), N49+N30-N25, N25*$AA58)</f>
        <v>6.8736610849484805</v>
      </c>
      <c r="O50" s="290">
        <f t="shared" ca="1" si="27"/>
        <v>6.7240574203507038</v>
      </c>
      <c r="P50" s="290">
        <f t="shared" ca="1" si="27"/>
        <v>9.1727991818635992</v>
      </c>
      <c r="Q50" s="290">
        <f t="shared" ca="1" si="27"/>
        <v>12.996273160366194</v>
      </c>
      <c r="R50" s="290">
        <f t="shared" ca="1" si="27"/>
        <v>16.964738427379409</v>
      </c>
      <c r="S50" s="290">
        <f t="shared" ca="1" si="27"/>
        <v>19.998815390657452</v>
      </c>
      <c r="T50" s="290">
        <f t="shared" ca="1" si="27"/>
        <v>17.856166349333666</v>
      </c>
      <c r="U50" s="290">
        <f t="shared" ca="1" si="27"/>
        <v>13.168114687489897</v>
      </c>
      <c r="V50" s="290">
        <f t="shared" ca="1" si="27"/>
        <v>8.7700456026673947</v>
      </c>
      <c r="W50" s="290">
        <f t="shared" ca="1" si="27"/>
        <v>6.4354651907830149</v>
      </c>
      <c r="X50" s="290">
        <f t="shared" ca="1" si="27"/>
        <v>6.5084978398105919</v>
      </c>
      <c r="Y50" s="290">
        <f t="shared" ca="1" si="27"/>
        <v>6.8414407986127843</v>
      </c>
    </row>
    <row r="51" spans="1:27" x14ac:dyDescent="0.25">
      <c r="A51" s="363"/>
      <c r="B51" s="350" t="s">
        <v>167</v>
      </c>
      <c r="C51" s="351">
        <f>C50*C48</f>
        <v>48</v>
      </c>
      <c r="D51" s="343" t="s">
        <v>117</v>
      </c>
      <c r="E51" s="343"/>
      <c r="F51" s="348"/>
      <c r="J51" s="260" t="s">
        <v>260</v>
      </c>
      <c r="N51" s="290">
        <f t="shared" ref="N51:Y51" ca="1" si="28">IF((N49+N30)&gt;N25*(1+$AA58), N25*$AA58, N25*(1+$AA58)-N49-N30)</f>
        <v>2.9420284803581005</v>
      </c>
      <c r="O51" s="290">
        <f t="shared" ca="1" si="28"/>
        <v>6.3151761217964157</v>
      </c>
      <c r="P51" s="290">
        <f t="shared" ca="1" si="28"/>
        <v>5.8254277694938361</v>
      </c>
      <c r="Q51" s="290">
        <f t="shared" ca="1" si="28"/>
        <v>5.0607329737933178</v>
      </c>
      <c r="R51" s="290">
        <f t="shared" ca="1" si="28"/>
        <v>4.2670399203906744</v>
      </c>
      <c r="S51" s="290">
        <f t="shared" ca="1" si="28"/>
        <v>3.6602245277350658</v>
      </c>
      <c r="T51" s="290">
        <f t="shared" ca="1" si="28"/>
        <v>4.0887543359998224</v>
      </c>
      <c r="U51" s="290">
        <f t="shared" ca="1" si="28"/>
        <v>5.0263646683685765</v>
      </c>
      <c r="V51" s="290">
        <f t="shared" ca="1" si="28"/>
        <v>5.905978485333077</v>
      </c>
      <c r="W51" s="290">
        <f t="shared" ca="1" si="28"/>
        <v>0.31285311536530358</v>
      </c>
      <c r="X51" s="290">
        <f t="shared" ca="1" si="28"/>
        <v>0.75104900953076381</v>
      </c>
      <c r="Y51" s="290">
        <f t="shared" ca="1" si="28"/>
        <v>2.7487067623439181</v>
      </c>
    </row>
    <row r="52" spans="1:27" x14ac:dyDescent="0.25">
      <c r="A52" s="363"/>
      <c r="B52" s="350" t="s">
        <v>116</v>
      </c>
      <c r="C52" s="365">
        <f>VLOOKUP(VLOOKUP(C$43, '-calcs-'!$B$736:$M$752, 2, FALSE), '-calcs-'!$A$684:$Q$699, 16, FALSE)*C50</f>
        <v>57.599999999999994</v>
      </c>
      <c r="D52" s="343" t="s">
        <v>117</v>
      </c>
      <c r="E52" s="343"/>
      <c r="F52" s="348"/>
      <c r="J52" s="260" t="s">
        <v>261</v>
      </c>
      <c r="M52" s="260" t="s">
        <v>262</v>
      </c>
      <c r="O52" s="260">
        <v>980</v>
      </c>
      <c r="P52" s="260">
        <f>O52/N46</f>
        <v>32.219178082191782</v>
      </c>
      <c r="Q52" s="260">
        <f>P52*0.2</f>
        <v>6.4438356164383563</v>
      </c>
      <c r="R52" s="260">
        <f>P52*0.8</f>
        <v>25.775342465753425</v>
      </c>
      <c r="V52" s="260" t="e">
        <f>#REF!</f>
        <v>#REF!</v>
      </c>
      <c r="W52" s="260" t="s">
        <v>205</v>
      </c>
    </row>
    <row r="53" spans="1:27" x14ac:dyDescent="0.25">
      <c r="A53" s="363"/>
      <c r="B53" s="350" t="s">
        <v>118</v>
      </c>
      <c r="C53" s="366">
        <f>VLOOKUP(VLOOKUP(C$43, '-calcs-'!$B$736:$M$752, 2, FALSE), '-calcs-'!$A$684:$Q$699, 15, FALSE)</f>
        <v>1</v>
      </c>
      <c r="D53" s="343" t="s">
        <v>165</v>
      </c>
      <c r="E53" s="343"/>
      <c r="F53" s="348"/>
      <c r="J53" s="260" t="s">
        <v>263</v>
      </c>
      <c r="M53" s="260" t="s">
        <v>203</v>
      </c>
      <c r="O53" s="260">
        <v>1.24003</v>
      </c>
      <c r="P53" s="260" t="s">
        <v>264</v>
      </c>
      <c r="Q53" s="260">
        <v>1.24003</v>
      </c>
      <c r="V53" s="260" t="e">
        <f>$O69*V47+V49</f>
        <v>#VALUE!</v>
      </c>
      <c r="W53" s="260" t="s">
        <v>206</v>
      </c>
    </row>
    <row r="54" spans="1:27" x14ac:dyDescent="0.25">
      <c r="A54" s="363"/>
      <c r="B54" s="350" t="s">
        <v>168</v>
      </c>
      <c r="C54" s="366">
        <v>0.8</v>
      </c>
      <c r="D54" s="348" t="s">
        <v>165</v>
      </c>
      <c r="E54" s="343"/>
      <c r="F54" s="348"/>
      <c r="M54" s="260" t="s">
        <v>265</v>
      </c>
      <c r="O54" s="260">
        <v>0.26619999999999999</v>
      </c>
      <c r="P54" s="260" t="s">
        <v>266</v>
      </c>
      <c r="Q54" s="260">
        <v>0.26619999999999999</v>
      </c>
      <c r="V54" s="260" t="e">
        <f>$O69*V48+$O68</f>
        <v>#VALUE!</v>
      </c>
      <c r="W54" s="260" t="s">
        <v>207</v>
      </c>
    </row>
    <row r="55" spans="1:27" x14ac:dyDescent="0.25">
      <c r="A55" s="363"/>
      <c r="B55" s="350" t="s">
        <v>170</v>
      </c>
      <c r="C55" s="351">
        <f>C49*C47</f>
        <v>624</v>
      </c>
      <c r="D55" s="343" t="s">
        <v>139</v>
      </c>
      <c r="E55" s="343"/>
      <c r="F55" s="348"/>
      <c r="J55" s="303"/>
      <c r="M55" s="260" t="s">
        <v>267</v>
      </c>
      <c r="O55" s="303">
        <f>MROUND(Q55/365, 0.001)</f>
        <v>0.93200000000000005</v>
      </c>
      <c r="P55" s="260" t="s">
        <v>264</v>
      </c>
      <c r="Q55" s="260">
        <v>340</v>
      </c>
      <c r="R55" s="260" t="s">
        <v>268</v>
      </c>
      <c r="V55" s="260">
        <f ca="1">(V42-(V47-V48))*V51</f>
        <v>30177.368674458339</v>
      </c>
      <c r="W55" s="260" t="s">
        <v>208</v>
      </c>
    </row>
    <row r="56" spans="1:27" x14ac:dyDescent="0.25">
      <c r="A56" s="363"/>
      <c r="B56" s="350" t="s">
        <v>153</v>
      </c>
      <c r="C56" s="351">
        <f>C47*C48/1000</f>
        <v>1.248</v>
      </c>
      <c r="D56" s="343" t="s">
        <v>114</v>
      </c>
      <c r="E56" s="343"/>
      <c r="F56" s="348"/>
      <c r="M56" s="260" t="s">
        <v>269</v>
      </c>
      <c r="O56" s="260">
        <v>96</v>
      </c>
      <c r="P56" s="260" t="s">
        <v>141</v>
      </c>
      <c r="AA56" s="263"/>
    </row>
    <row r="57" spans="1:27" x14ac:dyDescent="0.25">
      <c r="A57" s="363"/>
      <c r="B57" s="350" t="s">
        <v>171</v>
      </c>
      <c r="C57" s="367">
        <f>C56*C44</f>
        <v>29.951999999999998</v>
      </c>
      <c r="D57" s="343" t="s">
        <v>114</v>
      </c>
      <c r="E57" s="343"/>
      <c r="F57" s="348"/>
      <c r="M57" s="260" t="s">
        <v>270</v>
      </c>
      <c r="O57" s="303">
        <f>O52*O54</f>
        <v>260.87599999999998</v>
      </c>
      <c r="V57" s="260" t="s">
        <v>271</v>
      </c>
      <c r="Z57" s="263" t="s">
        <v>272</v>
      </c>
      <c r="AA57" s="263">
        <v>0.94</v>
      </c>
    </row>
    <row r="58" spans="1:27" x14ac:dyDescent="0.25">
      <c r="A58" s="363"/>
      <c r="B58" s="350" t="s">
        <v>169</v>
      </c>
      <c r="C58" s="367">
        <f>C57*C53</f>
        <v>29.951999999999998</v>
      </c>
      <c r="D58" s="343" t="s">
        <v>114</v>
      </c>
      <c r="E58" s="368" t="s">
        <v>7</v>
      </c>
      <c r="F58" s="348"/>
      <c r="M58" s="260" t="s">
        <v>273</v>
      </c>
      <c r="O58" s="303">
        <f>O53*O56</f>
        <v>119.04288</v>
      </c>
      <c r="Q58" s="293">
        <v>0</v>
      </c>
      <c r="R58" s="260" t="s">
        <v>274</v>
      </c>
      <c r="W58" s="260" t="s">
        <v>275</v>
      </c>
      <c r="X58" s="329">
        <v>0.57089999999999996</v>
      </c>
      <c r="Z58" s="263" t="s">
        <v>7</v>
      </c>
      <c r="AA58" s="263">
        <v>0.2</v>
      </c>
    </row>
    <row r="59" spans="1:27" x14ac:dyDescent="0.25">
      <c r="A59" s="363"/>
      <c r="B59" s="350" t="s">
        <v>119</v>
      </c>
      <c r="C59" s="357">
        <f>C81*1000/C51</f>
        <v>83.333333333333329</v>
      </c>
      <c r="D59" s="343" t="s">
        <v>6</v>
      </c>
      <c r="E59" s="369">
        <f>C59/C55</f>
        <v>0.13354700854700854</v>
      </c>
      <c r="F59" s="348" t="e">
        <f>IF(E59&lt;(VLOOKUP(VLOOKUP(C$43,'-calcs-'!$B$736:$M$747,2,FALSE),'-calcs-'!$A$684:$Q$694,17,FALSE)),"OK",("IncreaseBanksize"))</f>
        <v>#N/A</v>
      </c>
      <c r="Q59" s="303">
        <f>O53*(1-Q58)</f>
        <v>1.24003</v>
      </c>
      <c r="R59" s="260" t="s">
        <v>276</v>
      </c>
      <c r="W59" s="260" t="s">
        <v>277</v>
      </c>
      <c r="X59" s="329">
        <v>0.35310000000000002</v>
      </c>
      <c r="Z59" s="263" t="s">
        <v>278</v>
      </c>
      <c r="AA59" s="263">
        <v>0.03</v>
      </c>
    </row>
    <row r="60" spans="1:27" x14ac:dyDescent="0.25">
      <c r="A60" s="363"/>
      <c r="B60" s="350" t="s">
        <v>120</v>
      </c>
      <c r="C60" s="357">
        <f>C80*1000/C51</f>
        <v>187.5</v>
      </c>
      <c r="D60" s="343" t="s">
        <v>6</v>
      </c>
      <c r="E60" s="369">
        <f>C60/C55</f>
        <v>0.30048076923076922</v>
      </c>
      <c r="F60" s="348" t="e">
        <f>IF(E60&lt;(VLOOKUP(VLOOKUP(C$43,'-calcs-'!$B$736:$M$747,2,FALSE),'-calcs-'!$A$684:$R$694,18,FALSE)),"OK",("INCREASE BANK SIZE"))</f>
        <v>#N/A</v>
      </c>
      <c r="M60" s="263" t="s">
        <v>279</v>
      </c>
      <c r="O60" s="303"/>
      <c r="Q60" s="329">
        <v>1.9998</v>
      </c>
      <c r="R60" s="260" t="s">
        <v>280</v>
      </c>
      <c r="W60" s="260" t="s">
        <v>281</v>
      </c>
      <c r="X60" s="329">
        <v>0.21890000000000001</v>
      </c>
    </row>
    <row r="61" spans="1:27" x14ac:dyDescent="0.25">
      <c r="A61" s="363"/>
      <c r="B61" s="350" t="s">
        <v>120</v>
      </c>
      <c r="C61" s="357">
        <f>C60*C51</f>
        <v>9000</v>
      </c>
      <c r="D61" s="343" t="s">
        <v>31</v>
      </c>
      <c r="E61" s="343"/>
      <c r="F61" s="348" t="s">
        <v>122</v>
      </c>
      <c r="M61" s="263" t="s">
        <v>279</v>
      </c>
      <c r="O61" s="303"/>
      <c r="Q61" s="260">
        <v>0.35</v>
      </c>
      <c r="R61" s="260" t="s">
        <v>282</v>
      </c>
    </row>
    <row r="62" spans="1:27" x14ac:dyDescent="0.25">
      <c r="A62" s="361"/>
      <c r="B62" s="350" t="s">
        <v>123</v>
      </c>
      <c r="C62" s="357">
        <f>VLOOKUP(VLOOKUP(C$43, '-calcs-'!$B$736:$M$752, 2, FALSE), '-calcs-'!$A$684:$Q$699, 8, FALSE)</f>
        <v>4000</v>
      </c>
      <c r="D62" s="348" t="s">
        <v>124</v>
      </c>
      <c r="E62" s="343"/>
      <c r="F62" s="356" t="s">
        <v>125</v>
      </c>
      <c r="M62" s="263" t="s">
        <v>279</v>
      </c>
      <c r="O62" s="303"/>
      <c r="Q62" s="303">
        <v>0.28999999999999998</v>
      </c>
      <c r="R62" s="260" t="s">
        <v>283</v>
      </c>
      <c r="V62" s="330" t="s">
        <v>284</v>
      </c>
      <c r="W62" s="298" t="s">
        <v>285</v>
      </c>
      <c r="X62" s="290">
        <v>10</v>
      </c>
      <c r="Y62" s="260" t="s">
        <v>114</v>
      </c>
      <c r="Z62" s="260" t="s">
        <v>286</v>
      </c>
    </row>
    <row r="63" spans="1:27" ht="15" customHeight="1" x14ac:dyDescent="0.25">
      <c r="A63" s="350"/>
      <c r="B63" s="350" t="s">
        <v>126</v>
      </c>
      <c r="C63" s="351">
        <f>C62/365</f>
        <v>10.95890410958904</v>
      </c>
      <c r="D63" s="348" t="s">
        <v>68</v>
      </c>
      <c r="E63" s="343"/>
      <c r="F63" s="348"/>
      <c r="Q63" s="303">
        <v>0.57089999999999996</v>
      </c>
      <c r="R63" s="260" t="s">
        <v>287</v>
      </c>
      <c r="V63" s="330" t="s">
        <v>288</v>
      </c>
      <c r="W63" s="298" t="s">
        <v>289</v>
      </c>
      <c r="X63" s="290">
        <v>27.4</v>
      </c>
      <c r="Y63" s="260" t="s">
        <v>114</v>
      </c>
      <c r="Z63" s="260" t="s">
        <v>290</v>
      </c>
    </row>
    <row r="64" spans="1:27" ht="15" customHeight="1" x14ac:dyDescent="0.25">
      <c r="A64" s="350"/>
      <c r="B64" s="350" t="s">
        <v>179</v>
      </c>
      <c r="C64" s="357">
        <f>VLOOKUP(VLOOKUP(C$43, '-calcs-'!$B$736:$M$752, 2, FALSE), '-calcs-'!$A$684:$S$699, 19, FALSE)</f>
        <v>4050</v>
      </c>
      <c r="D64" s="348" t="s">
        <v>6</v>
      </c>
      <c r="E64" s="357">
        <v>35</v>
      </c>
      <c r="F64" s="348" t="s">
        <v>172</v>
      </c>
      <c r="M64" s="260" t="s">
        <v>291</v>
      </c>
      <c r="O64" s="260">
        <f>O57+O58-O60-O61-O62</f>
        <v>379.91887999999994</v>
      </c>
      <c r="Q64" s="303">
        <v>0.35310000000000002</v>
      </c>
      <c r="R64" s="260" t="s">
        <v>292</v>
      </c>
      <c r="X64" s="310">
        <f>SUM(X62:X63)</f>
        <v>37.4</v>
      </c>
    </row>
    <row r="65" spans="1:25" ht="15" customHeight="1" x14ac:dyDescent="0.25">
      <c r="A65" s="361"/>
      <c r="B65" s="350" t="s">
        <v>173</v>
      </c>
      <c r="C65" s="357">
        <f>C49*C64</f>
        <v>4050</v>
      </c>
      <c r="D65" s="348" t="s">
        <v>6</v>
      </c>
      <c r="E65" s="357">
        <v>35</v>
      </c>
      <c r="F65" s="348" t="s">
        <v>172</v>
      </c>
      <c r="Q65" s="303">
        <v>0.21890000000000001</v>
      </c>
      <c r="R65" s="260" t="s">
        <v>293</v>
      </c>
    </row>
    <row r="66" spans="1:25" ht="15" customHeight="1" x14ac:dyDescent="0.25">
      <c r="A66" s="350"/>
      <c r="B66" s="350" t="s">
        <v>417</v>
      </c>
      <c r="C66" s="357" cm="1">
        <f t="array" ref="C66">INDEX(M81:N92, _xlfn.XMATCH(C65, M81:M92, 1), 2)</f>
        <v>25</v>
      </c>
      <c r="D66" s="348" t="s">
        <v>46</v>
      </c>
      <c r="E66" s="343"/>
      <c r="F66" s="348"/>
      <c r="N66" s="318" t="s">
        <v>187</v>
      </c>
      <c r="O66" s="318" t="s">
        <v>188</v>
      </c>
      <c r="P66" s="318" t="s">
        <v>189</v>
      </c>
      <c r="Q66" s="318" t="s">
        <v>190</v>
      </c>
      <c r="R66" s="318" t="s">
        <v>35</v>
      </c>
      <c r="S66" s="318" t="s">
        <v>191</v>
      </c>
      <c r="T66" s="318" t="s">
        <v>192</v>
      </c>
      <c r="U66" s="318" t="s">
        <v>193</v>
      </c>
      <c r="V66" s="318" t="s">
        <v>194</v>
      </c>
      <c r="W66" s="318" t="s">
        <v>195</v>
      </c>
      <c r="X66" s="318" t="s">
        <v>196</v>
      </c>
      <c r="Y66" s="318" t="s">
        <v>197</v>
      </c>
    </row>
    <row r="67" spans="1:25" ht="15" customHeight="1" x14ac:dyDescent="0.25">
      <c r="A67" s="350"/>
      <c r="B67" s="370" t="s">
        <v>79</v>
      </c>
      <c r="C67" s="348">
        <v>3</v>
      </c>
      <c r="D67" s="347" t="s">
        <v>4</v>
      </c>
      <c r="E67" s="343"/>
      <c r="F67" s="348"/>
      <c r="M67" s="298" t="s">
        <v>294</v>
      </c>
      <c r="N67" s="303">
        <v>0.49249547280141825</v>
      </c>
      <c r="O67" s="303">
        <v>0.49249547280141825</v>
      </c>
      <c r="P67" s="303">
        <v>0.49249547280141825</v>
      </c>
      <c r="Q67" s="303">
        <v>0.42343858999999995</v>
      </c>
      <c r="R67" s="303">
        <v>0.42343858999999995</v>
      </c>
      <c r="S67" s="303">
        <v>0.42343858999999995</v>
      </c>
      <c r="T67" s="303">
        <v>0.42343858999999995</v>
      </c>
      <c r="U67" s="303">
        <v>0.42343858999999995</v>
      </c>
      <c r="V67" s="303">
        <v>0.42343858999999995</v>
      </c>
      <c r="W67" s="303">
        <v>0.42343858999999995</v>
      </c>
      <c r="X67" s="303">
        <v>0.49249547280141825</v>
      </c>
      <c r="Y67" s="303">
        <v>0.49249547280141825</v>
      </c>
    </row>
    <row r="68" spans="1:25" ht="15" customHeight="1" x14ac:dyDescent="0.25">
      <c r="A68" s="350"/>
      <c r="B68" s="350" t="s">
        <v>80</v>
      </c>
      <c r="C68" s="348">
        <v>2</v>
      </c>
      <c r="D68" s="371" t="s">
        <v>81</v>
      </c>
      <c r="E68" s="343"/>
      <c r="F68" s="348"/>
      <c r="M68" s="298" t="s">
        <v>295</v>
      </c>
      <c r="N68" s="303">
        <v>0.26685204952891234</v>
      </c>
      <c r="O68" s="303">
        <v>0.26685204952891234</v>
      </c>
      <c r="P68" s="303">
        <v>0.26685204952891234</v>
      </c>
      <c r="Q68" s="303">
        <v>0.23137534306569346</v>
      </c>
      <c r="R68" s="303">
        <v>0.23137534306569346</v>
      </c>
      <c r="S68" s="303">
        <v>0.26210209507169846</v>
      </c>
      <c r="T68" s="303">
        <v>0.26210209507169846</v>
      </c>
      <c r="U68" s="303">
        <v>0.26210209507169846</v>
      </c>
      <c r="V68" s="303">
        <v>0.23137534306569346</v>
      </c>
      <c r="W68" s="303">
        <v>0.23137534306569346</v>
      </c>
      <c r="X68" s="303">
        <v>0.26685204952891234</v>
      </c>
      <c r="Y68" s="303">
        <v>0.26685204952891234</v>
      </c>
    </row>
    <row r="69" spans="1:25" ht="15" customHeight="1" x14ac:dyDescent="0.25">
      <c r="A69" s="350"/>
      <c r="B69" s="370" t="s">
        <v>82</v>
      </c>
      <c r="C69" s="357">
        <f>C80*1000/(C82*C79)</f>
        <v>195.3125</v>
      </c>
      <c r="D69" s="347" t="s">
        <v>6</v>
      </c>
      <c r="E69" s="343"/>
      <c r="F69" s="348"/>
      <c r="J69" s="277"/>
      <c r="O69" s="265" t="s">
        <v>296</v>
      </c>
      <c r="P69" s="265"/>
      <c r="Q69" s="265"/>
      <c r="R69" s="265"/>
      <c r="S69" s="265" t="s">
        <v>297</v>
      </c>
      <c r="T69" s="265"/>
      <c r="U69" s="265"/>
      <c r="V69" s="265"/>
    </row>
    <row r="70" spans="1:25" ht="15" customHeight="1" x14ac:dyDescent="0.25">
      <c r="A70" s="350"/>
      <c r="B70" s="370" t="s">
        <v>83</v>
      </c>
      <c r="C70" s="348">
        <f>1.68*10^-8*1.0786*C68/C71</f>
        <v>1.4496383999999998E-3</v>
      </c>
      <c r="D70" s="347" t="s">
        <v>84</v>
      </c>
      <c r="E70" s="343"/>
      <c r="F70" s="348"/>
      <c r="K70" s="277"/>
      <c r="M70" s="298" t="s">
        <v>298</v>
      </c>
      <c r="N70" s="303">
        <v>14.236500885106382</v>
      </c>
      <c r="O70" s="303">
        <v>14.236500885106382</v>
      </c>
      <c r="P70" s="303">
        <v>14.236500885106382</v>
      </c>
      <c r="Q70" s="303">
        <v>12.573870300000001</v>
      </c>
      <c r="R70" s="303">
        <v>12.573870300000001</v>
      </c>
      <c r="S70" s="303">
        <v>13.405185592553192</v>
      </c>
      <c r="T70" s="303">
        <v>13.405185592553192</v>
      </c>
      <c r="U70" s="303">
        <v>13.405185592553192</v>
      </c>
      <c r="V70" s="303">
        <v>12.573870300000001</v>
      </c>
      <c r="W70" s="303">
        <v>12.573870300000001</v>
      </c>
      <c r="X70" s="303">
        <v>14.236500885106382</v>
      </c>
      <c r="Y70" s="303">
        <v>14.236500885106382</v>
      </c>
    </row>
    <row r="71" spans="1:25" ht="15" customHeight="1" x14ac:dyDescent="0.25">
      <c r="A71" s="350"/>
      <c r="B71" s="350" t="s">
        <v>85</v>
      </c>
      <c r="C71" s="348">
        <f>C66/1000000</f>
        <v>2.5000000000000001E-5</v>
      </c>
      <c r="D71" s="347" t="s">
        <v>86</v>
      </c>
      <c r="E71" s="343"/>
      <c r="F71" s="348"/>
    </row>
    <row r="72" spans="1:25" ht="15" customHeight="1" x14ac:dyDescent="0.25">
      <c r="A72" s="350"/>
      <c r="B72" s="350" t="s">
        <v>87</v>
      </c>
      <c r="C72" s="367">
        <f>C69*C70</f>
        <v>0.28313249999999995</v>
      </c>
      <c r="D72" s="347" t="s">
        <v>76</v>
      </c>
      <c r="E72" s="343"/>
      <c r="F72" s="348"/>
    </row>
    <row r="73" spans="1:25" ht="15" customHeight="1" x14ac:dyDescent="0.25">
      <c r="A73" s="350"/>
      <c r="B73" s="350" t="s">
        <v>88</v>
      </c>
      <c r="C73" s="372">
        <f>C72/C51</f>
        <v>5.8985937499999993E-3</v>
      </c>
      <c r="D73" s="347"/>
      <c r="E73" s="343"/>
      <c r="F73" s="348"/>
    </row>
    <row r="74" spans="1:25" ht="15" customHeight="1" x14ac:dyDescent="0.25">
      <c r="A74" s="350"/>
      <c r="B74" s="350"/>
      <c r="C74" s="350"/>
      <c r="D74" s="348"/>
      <c r="E74" s="343"/>
      <c r="F74" s="348"/>
    </row>
    <row r="75" spans="1:25" ht="15" customHeight="1" x14ac:dyDescent="0.25">
      <c r="A75" s="343"/>
      <c r="B75" s="361" t="s">
        <v>418</v>
      </c>
      <c r="C75" s="343">
        <f>Calculator!$E$14</f>
        <v>4</v>
      </c>
      <c r="D75" s="343" t="s">
        <v>72</v>
      </c>
      <c r="E75" s="343"/>
      <c r="F75" s="348"/>
    </row>
    <row r="76" spans="1:25" ht="15" customHeight="1" x14ac:dyDescent="0.25">
      <c r="A76" s="363" t="s">
        <v>135</v>
      </c>
      <c r="B76" s="350" t="s">
        <v>136</v>
      </c>
      <c r="C76" s="357">
        <f>VLOOKUP(C$75, '-calcs-'!$A$670:$T$679, 5, FALSE)</f>
        <v>5000</v>
      </c>
      <c r="D76" s="343" t="s">
        <v>137</v>
      </c>
      <c r="E76" s="343"/>
      <c r="F76" s="348"/>
    </row>
    <row r="77" spans="1:25" ht="15" customHeight="1" x14ac:dyDescent="0.25">
      <c r="A77" s="343"/>
      <c r="B77" s="350" t="s">
        <v>1</v>
      </c>
      <c r="C77" s="325" t="str">
        <f>VLOOKUP(C$75, '-calcs-'!$A$670:$T$679, 3, FALSE)</f>
        <v>Victron</v>
      </c>
      <c r="D77" s="343"/>
      <c r="E77" s="343"/>
      <c r="F77" s="348"/>
    </row>
    <row r="78" spans="1:25" ht="15" customHeight="1" x14ac:dyDescent="0.25">
      <c r="A78" s="343"/>
      <c r="B78" s="350" t="s">
        <v>0</v>
      </c>
      <c r="C78" s="373" t="str">
        <f>VLOOKUP(C$75, '-calcs-'!$A$670:$T$679, 2, FALSE)</f>
        <v>MultiplusII 48/5000/70</v>
      </c>
      <c r="D78" s="343"/>
      <c r="E78" s="343"/>
      <c r="F78" s="348" t="s">
        <v>426</v>
      </c>
      <c r="L78" s="289" t="s">
        <v>598</v>
      </c>
      <c r="O78" s="311" t="s">
        <v>599</v>
      </c>
      <c r="P78" s="311" t="s">
        <v>599</v>
      </c>
      <c r="Q78" s="289" t="s">
        <v>598</v>
      </c>
    </row>
    <row r="79" spans="1:25" ht="15" customHeight="1" x14ac:dyDescent="0.25">
      <c r="A79" s="343"/>
      <c r="B79" s="350" t="s">
        <v>121</v>
      </c>
      <c r="C79" s="357">
        <f>VLOOKUP(C$75, '-calcs-'!$A$670:$T$679, 4, FALSE)</f>
        <v>48</v>
      </c>
      <c r="D79" s="343" t="s">
        <v>422</v>
      </c>
      <c r="E79" s="343"/>
      <c r="F79" s="348" t="s">
        <v>427</v>
      </c>
      <c r="L79" s="312" t="s">
        <v>96</v>
      </c>
      <c r="M79" s="302"/>
      <c r="N79" s="312" t="s">
        <v>132</v>
      </c>
      <c r="O79" s="312" t="s">
        <v>96</v>
      </c>
      <c r="P79" s="312" t="s">
        <v>128</v>
      </c>
      <c r="Q79" s="312" t="s">
        <v>128</v>
      </c>
      <c r="R79" s="313" t="s">
        <v>100</v>
      </c>
      <c r="S79" s="312" t="s">
        <v>130</v>
      </c>
      <c r="T79" s="289" t="s">
        <v>90</v>
      </c>
    </row>
    <row r="80" spans="1:25" ht="15" customHeight="1" x14ac:dyDescent="0.25">
      <c r="A80" s="343"/>
      <c r="B80" s="350" t="s">
        <v>115</v>
      </c>
      <c r="C80" s="351">
        <f>VLOOKUP(C$75, '-calcs-'!$A$670:$T$679, 7, FALSE)</f>
        <v>9</v>
      </c>
      <c r="D80" s="343" t="s">
        <v>72</v>
      </c>
      <c r="E80" s="343"/>
      <c r="F80" s="348" t="s">
        <v>428</v>
      </c>
      <c r="L80" s="312" t="s">
        <v>133</v>
      </c>
      <c r="M80" s="302" t="s">
        <v>416</v>
      </c>
      <c r="N80" s="312" t="s">
        <v>77</v>
      </c>
      <c r="O80" s="312" t="s">
        <v>133</v>
      </c>
      <c r="P80" s="312" t="s">
        <v>96</v>
      </c>
      <c r="Q80" s="312" t="s">
        <v>96</v>
      </c>
      <c r="R80" s="302"/>
      <c r="S80" s="302"/>
      <c r="T80" s="289" t="s">
        <v>91</v>
      </c>
    </row>
    <row r="81" spans="1:20" x14ac:dyDescent="0.25">
      <c r="A81" s="343"/>
      <c r="B81" s="350" t="s">
        <v>136</v>
      </c>
      <c r="C81" s="351">
        <f>VLOOKUP(C$75, '-calcs-'!$A$670:$T$679, 6, FALSE)</f>
        <v>4</v>
      </c>
      <c r="D81" s="343" t="s">
        <v>72</v>
      </c>
      <c r="E81" s="343"/>
      <c r="F81" s="348" t="s">
        <v>429</v>
      </c>
      <c r="H81" s="277"/>
      <c r="L81" s="302">
        <v>54</v>
      </c>
      <c r="M81" s="302">
        <f>P81</f>
        <v>1790</v>
      </c>
      <c r="N81" s="302">
        <v>10</v>
      </c>
      <c r="O81" s="302">
        <v>102</v>
      </c>
      <c r="P81" s="260">
        <v>1790</v>
      </c>
      <c r="Q81" s="302">
        <v>1460</v>
      </c>
      <c r="R81" s="302"/>
      <c r="S81" s="302"/>
    </row>
    <row r="82" spans="1:20" ht="15" customHeight="1" x14ac:dyDescent="0.25">
      <c r="A82" s="343"/>
      <c r="B82" s="350" t="s">
        <v>138</v>
      </c>
      <c r="C82" s="367">
        <f>VLOOKUP(C$75, '-calcs-'!$A$670:$T$679, 10, FALSE)</f>
        <v>0.96</v>
      </c>
      <c r="D82" s="343"/>
      <c r="E82" s="343"/>
      <c r="F82" s="348" t="s">
        <v>430</v>
      </c>
      <c r="H82" s="277"/>
      <c r="L82" s="302">
        <v>63</v>
      </c>
      <c r="M82" s="302">
        <f t="shared" ref="M82:M91" si="29">P82</f>
        <v>2327</v>
      </c>
      <c r="N82" s="302">
        <v>13</v>
      </c>
      <c r="O82" s="302">
        <v>63</v>
      </c>
      <c r="P82" s="260">
        <v>2327</v>
      </c>
      <c r="Q82" s="302">
        <v>1898</v>
      </c>
      <c r="R82" s="302" t="s">
        <v>92</v>
      </c>
      <c r="S82" s="302"/>
    </row>
    <row r="83" spans="1:20" x14ac:dyDescent="0.25">
      <c r="A83" s="350"/>
      <c r="B83" s="350"/>
      <c r="C83" s="350"/>
      <c r="D83" s="348"/>
      <c r="E83" s="343"/>
      <c r="F83" s="348"/>
      <c r="L83" s="302">
        <v>72</v>
      </c>
      <c r="M83" s="302">
        <f t="shared" si="29"/>
        <v>2864</v>
      </c>
      <c r="N83" s="302">
        <v>16</v>
      </c>
      <c r="O83" s="302">
        <v>135</v>
      </c>
      <c r="P83" s="260">
        <v>2864</v>
      </c>
      <c r="Q83" s="302">
        <v>2336</v>
      </c>
      <c r="R83" s="302"/>
      <c r="S83" s="302"/>
      <c r="T83" s="277" t="s">
        <v>129</v>
      </c>
    </row>
    <row r="84" spans="1:20" x14ac:dyDescent="0.25">
      <c r="A84" s="363" t="s">
        <v>127</v>
      </c>
      <c r="B84" s="350" t="s">
        <v>145</v>
      </c>
      <c r="C84" s="357">
        <v>7</v>
      </c>
      <c r="D84" s="348" t="s">
        <v>146</v>
      </c>
      <c r="E84" s="343"/>
      <c r="F84" s="348" t="s">
        <v>176</v>
      </c>
      <c r="L84" s="302">
        <v>85</v>
      </c>
      <c r="M84" s="302">
        <f t="shared" si="29"/>
        <v>2958</v>
      </c>
      <c r="N84" s="302">
        <v>20.260000000000002</v>
      </c>
      <c r="O84" s="302">
        <v>85</v>
      </c>
      <c r="P84" s="260">
        <v>2958</v>
      </c>
      <c r="Q84" s="260">
        <v>2958</v>
      </c>
      <c r="R84" s="302" t="s">
        <v>93</v>
      </c>
      <c r="S84" s="302" t="s">
        <v>131</v>
      </c>
      <c r="T84" s="314" t="s">
        <v>95</v>
      </c>
    </row>
    <row r="85" spans="1:20" x14ac:dyDescent="0.25">
      <c r="A85" s="343"/>
      <c r="B85" s="350" t="s">
        <v>144</v>
      </c>
      <c r="C85" s="351">
        <f>Calculator!E11</f>
        <v>14</v>
      </c>
      <c r="D85" s="348" t="s">
        <v>73</v>
      </c>
      <c r="E85" s="343" t="s">
        <v>932</v>
      </c>
      <c r="F85" s="348"/>
      <c r="L85" s="302">
        <v>97</v>
      </c>
      <c r="M85" s="302">
        <f t="shared" si="29"/>
        <v>4475</v>
      </c>
      <c r="N85" s="302">
        <v>25</v>
      </c>
      <c r="O85" s="302">
        <v>178</v>
      </c>
      <c r="P85" s="260">
        <v>4475</v>
      </c>
      <c r="Q85" s="302">
        <v>3650</v>
      </c>
      <c r="R85" s="302" t="s">
        <v>94</v>
      </c>
      <c r="S85" s="302"/>
      <c r="T85" s="277" t="s">
        <v>98</v>
      </c>
    </row>
    <row r="86" spans="1:20" x14ac:dyDescent="0.25">
      <c r="A86" s="343"/>
      <c r="B86" s="350" t="s">
        <v>144</v>
      </c>
      <c r="C86" s="351">
        <f>C85</f>
        <v>14</v>
      </c>
      <c r="D86" s="348" t="s">
        <v>73</v>
      </c>
      <c r="E86" s="374" t="s">
        <v>577</v>
      </c>
      <c r="F86" s="348"/>
      <c r="L86" s="302">
        <v>119</v>
      </c>
      <c r="M86" s="302">
        <f t="shared" si="29"/>
        <v>6265</v>
      </c>
      <c r="N86" s="302">
        <v>35</v>
      </c>
      <c r="O86" s="302">
        <v>221</v>
      </c>
      <c r="P86" s="260">
        <v>6265</v>
      </c>
      <c r="Q86" s="302">
        <v>5110</v>
      </c>
      <c r="R86" s="302"/>
      <c r="S86" s="302"/>
      <c r="T86" s="277"/>
    </row>
    <row r="87" spans="1:20" x14ac:dyDescent="0.25">
      <c r="A87" s="343"/>
      <c r="B87" s="350" t="s">
        <v>74</v>
      </c>
      <c r="C87" s="351">
        <v>3</v>
      </c>
      <c r="D87" s="348" t="s">
        <v>75</v>
      </c>
      <c r="E87" s="343" t="s">
        <v>154</v>
      </c>
      <c r="F87" s="348"/>
      <c r="K87" s="277"/>
      <c r="L87" s="302"/>
      <c r="M87" s="302">
        <f t="shared" si="29"/>
        <v>5774</v>
      </c>
      <c r="N87" s="302">
        <v>39.549999999999997</v>
      </c>
      <c r="O87" s="302">
        <v>130</v>
      </c>
      <c r="P87" s="302">
        <v>5774</v>
      </c>
      <c r="Q87" s="302">
        <v>5774</v>
      </c>
      <c r="R87" s="302" t="s">
        <v>97</v>
      </c>
      <c r="S87" s="302"/>
    </row>
    <row r="88" spans="1:20" x14ac:dyDescent="0.25">
      <c r="A88" s="343"/>
      <c r="B88" s="350" t="s">
        <v>148</v>
      </c>
      <c r="C88" s="351">
        <f>MIN(N22:Z22)</f>
        <v>2.4</v>
      </c>
      <c r="D88" s="348" t="s">
        <v>152</v>
      </c>
      <c r="E88" s="375" t="str">
        <f>C37</f>
        <v>Sydney</v>
      </c>
      <c r="F88" s="348"/>
      <c r="K88" s="277"/>
      <c r="L88" s="302">
        <v>146</v>
      </c>
      <c r="M88" s="302">
        <f t="shared" si="29"/>
        <v>8950</v>
      </c>
      <c r="N88" s="302">
        <v>50</v>
      </c>
      <c r="O88" s="302">
        <v>279</v>
      </c>
      <c r="P88" s="260">
        <v>8950</v>
      </c>
      <c r="Q88" s="302">
        <v>7300</v>
      </c>
      <c r="R88" s="302" t="s">
        <v>99</v>
      </c>
      <c r="S88" s="302"/>
    </row>
    <row r="89" spans="1:20" x14ac:dyDescent="0.25">
      <c r="A89" s="343"/>
      <c r="B89" s="350" t="s">
        <v>147</v>
      </c>
      <c r="C89" s="351">
        <f>MAX(N22:Z22)</f>
        <v>6.5</v>
      </c>
      <c r="D89" s="348" t="s">
        <v>152</v>
      </c>
      <c r="E89" s="375" t="str">
        <f>E88</f>
        <v>Sydney</v>
      </c>
      <c r="F89" s="348"/>
      <c r="I89" s="315"/>
      <c r="J89" s="277"/>
      <c r="K89" s="277"/>
      <c r="L89" s="302">
        <v>184</v>
      </c>
      <c r="M89" s="302">
        <f t="shared" si="29"/>
        <v>12530</v>
      </c>
      <c r="N89" s="302">
        <v>70</v>
      </c>
      <c r="O89" s="302">
        <v>351</v>
      </c>
      <c r="P89" s="260">
        <v>12530</v>
      </c>
      <c r="Q89" s="302">
        <v>10220</v>
      </c>
      <c r="R89" s="302"/>
      <c r="S89" s="302"/>
    </row>
    <row r="90" spans="1:20" x14ac:dyDescent="0.25">
      <c r="A90" s="343"/>
      <c r="B90" s="350" t="s">
        <v>150</v>
      </c>
      <c r="C90" s="351">
        <f>C88*C$30*E90*C82/1000</f>
        <v>13.768704</v>
      </c>
      <c r="D90" s="348" t="s">
        <v>73</v>
      </c>
      <c r="E90" s="343">
        <v>0.9</v>
      </c>
      <c r="F90" s="348" t="s">
        <v>159</v>
      </c>
      <c r="L90" s="302">
        <v>230</v>
      </c>
      <c r="M90" s="302">
        <f t="shared" si="29"/>
        <v>16110</v>
      </c>
      <c r="N90" s="302">
        <v>95</v>
      </c>
      <c r="O90" s="302">
        <v>422</v>
      </c>
      <c r="P90" s="260">
        <v>16110</v>
      </c>
      <c r="Q90" s="302">
        <v>13870</v>
      </c>
      <c r="R90" s="302"/>
      <c r="S90" s="302"/>
    </row>
    <row r="91" spans="1:20" x14ac:dyDescent="0.25">
      <c r="A91" s="343"/>
      <c r="B91" s="350" t="s">
        <v>149</v>
      </c>
      <c r="C91" s="351">
        <f>C89*C$30*E91*C82/1000</f>
        <v>37.290239999999997</v>
      </c>
      <c r="D91" s="348" t="s">
        <v>73</v>
      </c>
      <c r="E91" s="343">
        <v>0.9</v>
      </c>
      <c r="F91" s="348" t="s">
        <v>159</v>
      </c>
      <c r="L91" s="302">
        <v>267</v>
      </c>
      <c r="M91" s="302">
        <f t="shared" si="29"/>
        <v>21480</v>
      </c>
      <c r="N91" s="302">
        <v>120</v>
      </c>
      <c r="O91" s="302">
        <v>500</v>
      </c>
      <c r="P91" s="260">
        <v>21480</v>
      </c>
      <c r="Q91" s="302">
        <v>17520</v>
      </c>
      <c r="R91" s="302"/>
      <c r="S91" s="302"/>
    </row>
    <row r="92" spans="1:20" x14ac:dyDescent="0.25">
      <c r="A92" s="343"/>
      <c r="B92" s="350" t="s">
        <v>151</v>
      </c>
      <c r="C92" s="351">
        <f>C85*3</f>
        <v>42</v>
      </c>
      <c r="D92" s="348" t="s">
        <v>114</v>
      </c>
      <c r="E92" s="343"/>
      <c r="F92" s="348"/>
      <c r="P92" s="260" t="s">
        <v>134</v>
      </c>
    </row>
    <row r="93" spans="1:20" ht="15.75" x14ac:dyDescent="0.25">
      <c r="A93" s="343"/>
      <c r="B93" s="350"/>
      <c r="C93" s="376">
        <f>ROUND(3*C58/C92, 1)</f>
        <v>2.1</v>
      </c>
      <c r="D93" s="348" t="s">
        <v>432</v>
      </c>
      <c r="E93" s="343"/>
      <c r="F93" s="348"/>
      <c r="L93" s="277"/>
      <c r="N93" s="282" t="s">
        <v>600</v>
      </c>
      <c r="P93" s="302"/>
      <c r="Q93" s="302"/>
      <c r="R93" s="302"/>
      <c r="S93" s="302"/>
    </row>
    <row r="94" spans="1:20" x14ac:dyDescent="0.25">
      <c r="A94" s="343"/>
      <c r="B94" s="350" t="s">
        <v>492</v>
      </c>
      <c r="C94" s="351">
        <f>Calculator!E11/C82*(1-Calculator!E12/100)</f>
        <v>12.395833333333334</v>
      </c>
      <c r="D94" s="348" t="s">
        <v>73</v>
      </c>
      <c r="E94" s="343"/>
      <c r="F94" s="348"/>
      <c r="G94" s="277"/>
      <c r="H94" s="278"/>
      <c r="I94" s="277"/>
      <c r="J94" s="277"/>
      <c r="K94" s="277"/>
      <c r="L94" s="316"/>
      <c r="N94" s="313" t="s">
        <v>100</v>
      </c>
      <c r="O94" s="313" t="s">
        <v>601</v>
      </c>
      <c r="P94" s="313" t="s">
        <v>602</v>
      </c>
      <c r="Q94" s="313" t="s">
        <v>603</v>
      </c>
      <c r="R94" s="313" t="s">
        <v>604</v>
      </c>
      <c r="S94" s="302"/>
    </row>
    <row r="95" spans="1:20" x14ac:dyDescent="0.25">
      <c r="A95" s="343"/>
      <c r="B95" s="350" t="s">
        <v>491</v>
      </c>
      <c r="C95" s="351">
        <f>C94*3</f>
        <v>37.1875</v>
      </c>
      <c r="D95" s="348" t="s">
        <v>114</v>
      </c>
      <c r="E95" s="343"/>
      <c r="F95" s="348"/>
      <c r="I95" s="277"/>
      <c r="K95" s="277"/>
      <c r="L95" s="316"/>
      <c r="N95" s="302" t="s">
        <v>605</v>
      </c>
      <c r="O95" s="302">
        <v>7.71</v>
      </c>
      <c r="P95" s="302">
        <v>5.5</v>
      </c>
      <c r="Q95" s="302">
        <v>74</v>
      </c>
      <c r="R95" s="302" t="s">
        <v>606</v>
      </c>
      <c r="S95" s="302"/>
    </row>
    <row r="96" spans="1:20" x14ac:dyDescent="0.25">
      <c r="A96" s="343"/>
      <c r="B96" s="343"/>
      <c r="C96" s="376">
        <f>ROUND(3*C57/C95, 1)</f>
        <v>2.4</v>
      </c>
      <c r="D96" s="348" t="s">
        <v>432</v>
      </c>
      <c r="E96" s="343"/>
      <c r="F96" s="348"/>
      <c r="I96" s="277"/>
      <c r="K96" s="277"/>
      <c r="L96" s="316"/>
      <c r="N96" s="302" t="s">
        <v>607</v>
      </c>
      <c r="O96" s="302">
        <v>13.5</v>
      </c>
      <c r="P96" s="302">
        <v>7.2</v>
      </c>
      <c r="Q96" s="302">
        <v>103</v>
      </c>
      <c r="R96" s="302" t="s">
        <v>608</v>
      </c>
      <c r="S96" s="302"/>
    </row>
    <row r="97" spans="1:27" x14ac:dyDescent="0.25">
      <c r="A97" s="343"/>
      <c r="B97" s="343"/>
      <c r="C97" s="343"/>
      <c r="D97" s="343"/>
      <c r="E97" s="343"/>
      <c r="F97" s="348"/>
      <c r="I97" s="277"/>
      <c r="K97" s="277"/>
      <c r="L97" s="316"/>
      <c r="N97" s="302" t="s">
        <v>609</v>
      </c>
      <c r="O97" s="302">
        <v>20.260000000000002</v>
      </c>
      <c r="P97" s="302">
        <v>8.3000000000000007</v>
      </c>
      <c r="Q97" s="302">
        <v>135</v>
      </c>
      <c r="R97" s="302" t="s">
        <v>610</v>
      </c>
      <c r="S97" s="302"/>
    </row>
    <row r="98" spans="1:27" x14ac:dyDescent="0.25">
      <c r="A98" s="343"/>
      <c r="B98" s="343"/>
      <c r="C98" s="343"/>
      <c r="D98" s="343"/>
      <c r="E98" s="343"/>
      <c r="F98" s="348"/>
      <c r="I98" s="277"/>
      <c r="K98" s="277"/>
      <c r="L98" s="316"/>
      <c r="N98" s="302" t="s">
        <v>611</v>
      </c>
      <c r="O98" s="302">
        <v>26.45</v>
      </c>
      <c r="P98" s="302">
        <v>10.199999999999999</v>
      </c>
      <c r="Q98" s="302">
        <v>168</v>
      </c>
      <c r="R98" s="302" t="s">
        <v>612</v>
      </c>
      <c r="S98" s="302"/>
    </row>
    <row r="99" spans="1:27" x14ac:dyDescent="0.25">
      <c r="A99" s="343"/>
      <c r="B99" s="343"/>
      <c r="C99" s="343"/>
      <c r="D99" s="343"/>
      <c r="E99" s="343"/>
      <c r="F99" s="348"/>
      <c r="I99" s="277"/>
      <c r="K99" s="277"/>
      <c r="L99" s="316"/>
      <c r="N99" s="302" t="s">
        <v>613</v>
      </c>
      <c r="O99" s="302">
        <v>32.07</v>
      </c>
      <c r="P99" s="302">
        <v>11.3</v>
      </c>
      <c r="Q99" s="302">
        <v>188</v>
      </c>
      <c r="R99" s="302" t="s">
        <v>614</v>
      </c>
      <c r="S99" s="302"/>
    </row>
    <row r="100" spans="1:27" x14ac:dyDescent="0.25">
      <c r="A100" s="343"/>
      <c r="B100" s="343"/>
      <c r="C100" s="343"/>
      <c r="D100" s="343"/>
      <c r="E100" s="343"/>
      <c r="F100" s="348"/>
      <c r="I100" s="277"/>
      <c r="K100" s="277"/>
      <c r="N100" s="302" t="s">
        <v>615</v>
      </c>
      <c r="O100" s="302">
        <v>39.549999999999997</v>
      </c>
      <c r="P100" s="302">
        <v>12.1</v>
      </c>
      <c r="Q100" s="302">
        <v>210</v>
      </c>
      <c r="R100" s="302" t="s">
        <v>616</v>
      </c>
      <c r="S100" s="302"/>
    </row>
    <row r="101" spans="1:27" x14ac:dyDescent="0.25">
      <c r="A101" s="343"/>
      <c r="B101" s="343"/>
      <c r="C101" s="343"/>
      <c r="D101" s="343"/>
      <c r="E101" s="343"/>
      <c r="F101" s="348"/>
      <c r="N101" s="302" t="s">
        <v>617</v>
      </c>
      <c r="O101" s="302">
        <v>49</v>
      </c>
      <c r="P101" s="302">
        <v>12.7</v>
      </c>
      <c r="Q101" s="302">
        <v>246</v>
      </c>
      <c r="R101" s="302" t="s">
        <v>618</v>
      </c>
      <c r="S101" s="302"/>
    </row>
    <row r="102" spans="1:27" x14ac:dyDescent="0.25">
      <c r="A102" s="343"/>
      <c r="B102" s="343"/>
      <c r="C102" s="343"/>
      <c r="D102" s="343"/>
      <c r="E102" s="343"/>
      <c r="F102" s="348"/>
    </row>
    <row r="103" spans="1:27" x14ac:dyDescent="0.25">
      <c r="A103" s="343"/>
      <c r="B103" s="343" t="s">
        <v>177</v>
      </c>
      <c r="C103" s="343"/>
      <c r="D103" s="343"/>
      <c r="E103" s="343"/>
      <c r="F103" s="344">
        <f ca="1">TODAY()</f>
        <v>45109</v>
      </c>
    </row>
    <row r="104" spans="1:27" ht="27" customHeight="1" x14ac:dyDescent="0.3">
      <c r="A104" s="343"/>
      <c r="B104" s="345" t="s">
        <v>684</v>
      </c>
      <c r="C104" s="343"/>
      <c r="D104" s="343"/>
      <c r="E104" s="346" t="str">
        <f>Loads!L3</f>
        <v>Name</v>
      </c>
      <c r="F104" s="377" t="str">
        <f>Loads!M2</f>
        <v>Your Address/Location</v>
      </c>
    </row>
    <row r="105" spans="1:27" x14ac:dyDescent="0.25">
      <c r="A105" s="343"/>
      <c r="B105" s="343"/>
      <c r="C105" s="343"/>
      <c r="D105" s="343"/>
      <c r="E105" s="343"/>
      <c r="F105" s="348" t="s">
        <v>431</v>
      </c>
    </row>
    <row r="106" spans="1:27" x14ac:dyDescent="0.25">
      <c r="A106" s="343" t="s">
        <v>178</v>
      </c>
      <c r="B106" s="348" t="s">
        <v>22</v>
      </c>
      <c r="C106" s="348" t="s">
        <v>23</v>
      </c>
      <c r="D106" s="348" t="s">
        <v>24</v>
      </c>
      <c r="E106" s="349" t="s">
        <v>25</v>
      </c>
      <c r="F106" s="348" t="s">
        <v>10</v>
      </c>
    </row>
    <row r="107" spans="1:27" x14ac:dyDescent="0.25">
      <c r="A107" s="363" t="s">
        <v>637</v>
      </c>
      <c r="B107" s="350" t="s">
        <v>396</v>
      </c>
      <c r="C107" s="351">
        <f>Calculator!F7</f>
        <v>0</v>
      </c>
      <c r="D107" s="343"/>
      <c r="E107" s="343"/>
      <c r="F107" s="348"/>
      <c r="K107" s="260" t="str">
        <f>VLOOKUP(J115, '-calcs-'!O208:P217, 2, FALSE)</f>
        <v>C192:M227</v>
      </c>
    </row>
    <row r="108" spans="1:27" x14ac:dyDescent="0.25">
      <c r="A108" s="352" t="s">
        <v>107</v>
      </c>
      <c r="B108" s="350" t="s">
        <v>26</v>
      </c>
      <c r="C108" s="348">
        <f>C126*C127</f>
        <v>0</v>
      </c>
      <c r="D108" s="348"/>
      <c r="E108" s="353"/>
      <c r="F108" s="348"/>
      <c r="G108" s="411"/>
      <c r="J108" s="279"/>
      <c r="Q108" s="277"/>
      <c r="R108" s="277"/>
    </row>
    <row r="109" spans="1:27" ht="18.75" x14ac:dyDescent="0.3">
      <c r="A109" s="343"/>
      <c r="B109" s="350" t="s">
        <v>1</v>
      </c>
      <c r="C109" s="354" t="e">
        <f>VLOOKUP(VLOOKUP(C$107, '-calcs-'!$B$721:$W$732, 2, FALSE), '-calcs-'!$A$703:$T$712, 3, FALSE)</f>
        <v>#N/A</v>
      </c>
      <c r="D109" s="348"/>
      <c r="E109" s="353"/>
      <c r="F109" s="348" t="s">
        <v>174</v>
      </c>
      <c r="G109" s="411"/>
      <c r="J109" s="412" t="str">
        <f>I127</f>
        <v>Array 2</v>
      </c>
      <c r="K109" s="412"/>
      <c r="O109" s="280" t="str">
        <f>"Solar Calculations "</f>
        <v xml:space="preserve">Solar Calculations </v>
      </c>
      <c r="Q109" s="277"/>
      <c r="R109" s="277"/>
      <c r="W109" s="260" t="s">
        <v>237</v>
      </c>
      <c r="X109" s="260" t="s">
        <v>6</v>
      </c>
      <c r="Y109" s="260" t="str">
        <f>E104</f>
        <v>Name</v>
      </c>
    </row>
    <row r="110" spans="1:27" ht="15.75" x14ac:dyDescent="0.25">
      <c r="A110" s="343"/>
      <c r="B110" s="350" t="s">
        <v>0</v>
      </c>
      <c r="C110" s="355" t="e">
        <f>VLOOKUP(VLOOKUP(C$107, '-calcs-'!$B$721:$W$732, 2, FALSE), '-calcs-'!$A$703:$T$712, 4, FALSE)</f>
        <v>#N/A</v>
      </c>
      <c r="D110" s="343"/>
      <c r="E110" s="353"/>
      <c r="F110" s="281"/>
      <c r="G110" s="411"/>
      <c r="J110" s="279" t="s">
        <v>180</v>
      </c>
      <c r="L110" s="282" t="s">
        <v>550</v>
      </c>
      <c r="Q110" s="277"/>
      <c r="R110" s="277"/>
      <c r="Y110" s="414" t="str">
        <f>F104</f>
        <v>Your Address/Location</v>
      </c>
      <c r="Z110" s="414"/>
      <c r="AA110" s="414"/>
    </row>
    <row r="111" spans="1:27" x14ac:dyDescent="0.25">
      <c r="A111" s="343"/>
      <c r="B111" s="350" t="s">
        <v>30</v>
      </c>
      <c r="C111" s="348">
        <f>VLOOKUP(C$107, '-calcs-'!$B$721:$W$732, 3, FALSE)</f>
        <v>0</v>
      </c>
      <c r="D111" s="343" t="s">
        <v>31</v>
      </c>
      <c r="E111" s="353"/>
      <c r="F111" s="343"/>
      <c r="G111" s="411"/>
      <c r="J111" s="260" t="s">
        <v>181</v>
      </c>
      <c r="L111" s="283">
        <f>C143</f>
        <v>20</v>
      </c>
      <c r="Q111" s="277"/>
      <c r="R111" s="277"/>
      <c r="Y111" s="414"/>
      <c r="Z111" s="414"/>
      <c r="AA111" s="414"/>
    </row>
    <row r="112" spans="1:27" x14ac:dyDescent="0.25">
      <c r="A112" s="343"/>
      <c r="B112" s="350" t="s">
        <v>33</v>
      </c>
      <c r="C112" s="348">
        <f>VLOOKUP(C$107, '-calcs-'!$B$721:$W$732, 9, FALSE)</f>
        <v>0</v>
      </c>
      <c r="D112" s="343" t="s">
        <v>34</v>
      </c>
      <c r="E112" s="353"/>
      <c r="F112" s="343"/>
      <c r="G112" s="411"/>
      <c r="J112" s="260" t="s">
        <v>182</v>
      </c>
      <c r="L112" s="283">
        <f>C142</f>
        <v>20</v>
      </c>
      <c r="Q112" s="277"/>
      <c r="R112" s="277"/>
      <c r="Y112" s="260" t="str">
        <f>F106</f>
        <v>Comments</v>
      </c>
    </row>
    <row r="113" spans="1:44" x14ac:dyDescent="0.25">
      <c r="A113" s="343"/>
      <c r="B113" s="350" t="s">
        <v>36</v>
      </c>
      <c r="C113" s="348">
        <f>VLOOKUP(C$107, '-calcs-'!$B$721:$W$732, 10, FALSE)</f>
        <v>0</v>
      </c>
      <c r="D113" s="343" t="s">
        <v>6</v>
      </c>
      <c r="E113" s="353"/>
      <c r="F113" s="281"/>
      <c r="G113" s="411"/>
      <c r="J113" s="260" t="s">
        <v>183</v>
      </c>
      <c r="L113" s="284">
        <f>C132</f>
        <v>0</v>
      </c>
      <c r="M113" s="260" t="s">
        <v>31</v>
      </c>
      <c r="Q113" s="277"/>
      <c r="R113" s="277"/>
      <c r="Y113" s="414"/>
      <c r="Z113" s="414"/>
      <c r="AA113" s="414"/>
    </row>
    <row r="114" spans="1:44" x14ac:dyDescent="0.25">
      <c r="A114" s="343"/>
      <c r="B114" s="350" t="s">
        <v>37</v>
      </c>
      <c r="C114" s="348">
        <f>VLOOKUP(C$107, '-calcs-'!$B$721:$W$732, 11, FALSE)</f>
        <v>0</v>
      </c>
      <c r="D114" s="343" t="s">
        <v>34</v>
      </c>
      <c r="E114" s="353"/>
      <c r="F114" s="348"/>
      <c r="G114" s="411"/>
      <c r="J114" s="260" t="s">
        <v>184</v>
      </c>
      <c r="K114" s="260">
        <f>C108</f>
        <v>0</v>
      </c>
      <c r="L114" s="260">
        <f>C111</f>
        <v>0</v>
      </c>
      <c r="M114" s="260" t="s">
        <v>31</v>
      </c>
      <c r="Y114" s="414"/>
      <c r="Z114" s="414"/>
      <c r="AA114" s="414"/>
    </row>
    <row r="115" spans="1:44" ht="15" customHeight="1" x14ac:dyDescent="0.25">
      <c r="A115" s="343"/>
      <c r="B115" s="350" t="s">
        <v>38</v>
      </c>
      <c r="C115" s="348">
        <f>VLOOKUP(C$107, '-calcs-'!$B$721:$W$732, 12, FALSE)</f>
        <v>0</v>
      </c>
      <c r="D115" s="343" t="s">
        <v>6</v>
      </c>
      <c r="E115" s="353"/>
      <c r="F115" s="348"/>
      <c r="J115" s="260" t="str">
        <f>C139</f>
        <v>Sydney</v>
      </c>
      <c r="K115" s="260" t="e">
        <f ca="1">VLOOKUP(C41, INDIRECT(VLOOKUP(J115, '-calcs-'!O208:P217, 2, FALSE)), (ROUND(C40, 10)/10+2), FALSE)</f>
        <v>#N/A</v>
      </c>
      <c r="Z115" s="286">
        <f ca="1">TODAY()</f>
        <v>45109</v>
      </c>
    </row>
    <row r="116" spans="1:44" x14ac:dyDescent="0.25">
      <c r="A116" s="343"/>
      <c r="B116" s="350" t="s">
        <v>39</v>
      </c>
      <c r="C116" s="348">
        <f>VLOOKUP(C$107, '-calcs-'!$B$721:$W$732, 13, FALSE)</f>
        <v>0</v>
      </c>
      <c r="D116" s="343" t="s">
        <v>4</v>
      </c>
      <c r="E116" s="353"/>
      <c r="F116" s="348"/>
      <c r="I116" s="260">
        <v>0.05</v>
      </c>
      <c r="J116" s="287">
        <f>1-I116</f>
        <v>0.95</v>
      </c>
      <c r="K116" s="260" t="s">
        <v>480</v>
      </c>
      <c r="M116" s="288"/>
      <c r="Z116" s="260" t="s">
        <v>5</v>
      </c>
    </row>
    <row r="117" spans="1:44" x14ac:dyDescent="0.25">
      <c r="A117" s="343"/>
      <c r="B117" s="350" t="s">
        <v>40</v>
      </c>
      <c r="C117" s="348">
        <f>VLOOKUP(C$107, '-calcs-'!$B$721:$W$732, 14, FALSE)</f>
        <v>0</v>
      </c>
      <c r="D117" s="343" t="s">
        <v>6</v>
      </c>
      <c r="E117" s="353"/>
      <c r="F117" s="356" t="s">
        <v>104</v>
      </c>
      <c r="G117" s="260" t="s">
        <v>105</v>
      </c>
      <c r="I117" s="260">
        <v>0.03</v>
      </c>
      <c r="J117" s="287">
        <f>1-I117</f>
        <v>0.97</v>
      </c>
      <c r="K117" s="260" t="s">
        <v>185</v>
      </c>
      <c r="Z117" s="260" t="s">
        <v>177</v>
      </c>
    </row>
    <row r="118" spans="1:44" x14ac:dyDescent="0.25">
      <c r="A118" s="343"/>
      <c r="B118" s="350" t="s">
        <v>41</v>
      </c>
      <c r="C118" s="348">
        <f>VLOOKUP(C$107, '-calcs-'!$B$721:$W$732, 15, FALSE)</f>
        <v>0</v>
      </c>
      <c r="D118" s="343" t="s">
        <v>42</v>
      </c>
      <c r="E118" s="353"/>
      <c r="F118" s="348"/>
      <c r="I118" s="260">
        <f>C120/100</f>
        <v>0</v>
      </c>
      <c r="J118" s="287">
        <f>1+I118*(C128+43-25-25)</f>
        <v>1</v>
      </c>
      <c r="K118" s="260" t="s">
        <v>691</v>
      </c>
      <c r="Z118" s="289" t="s">
        <v>142</v>
      </c>
    </row>
    <row r="119" spans="1:44" x14ac:dyDescent="0.25">
      <c r="A119" s="343"/>
      <c r="B119" s="350" t="s">
        <v>43</v>
      </c>
      <c r="C119" s="348">
        <f>VLOOKUP(C$107, '-calcs-'!$B$721:$W$732, 16, FALSE)</f>
        <v>0</v>
      </c>
      <c r="D119" s="343" t="s">
        <v>44</v>
      </c>
      <c r="E119" s="343" t="s">
        <v>155</v>
      </c>
      <c r="F119" s="410"/>
      <c r="J119" s="260" t="s">
        <v>238</v>
      </c>
      <c r="L119" s="290">
        <f>C159</f>
        <v>29.951999999999998</v>
      </c>
      <c r="M119" s="260" t="s">
        <v>114</v>
      </c>
      <c r="U119" s="291"/>
      <c r="V119" s="291"/>
      <c r="W119" s="291"/>
      <c r="X119" s="291"/>
      <c r="Y119" s="291"/>
      <c r="Z119" s="289" t="s">
        <v>143</v>
      </c>
      <c r="AE119" s="292" t="str">
        <f>C139</f>
        <v>Sydney</v>
      </c>
      <c r="AF119" s="293" t="e">
        <f t="shared" ref="AF119:AQ119" ca="1" si="30">IF($C142=0, $K115, VLOOKUP($C143, INDIRECT("'Solar-tables'!"&amp; VLOOKUP(AF123,INDIRECT($AD132), 2, FALSE)), (ROUND($C142, 10)/10+2), FALSE))</f>
        <v>#REF!</v>
      </c>
      <c r="AG119" s="293" t="e">
        <f t="shared" ca="1" si="30"/>
        <v>#REF!</v>
      </c>
      <c r="AH119" s="293" t="e">
        <f t="shared" ca="1" si="30"/>
        <v>#REF!</v>
      </c>
      <c r="AI119" s="293" t="e">
        <f t="shared" ca="1" si="30"/>
        <v>#REF!</v>
      </c>
      <c r="AJ119" s="293" t="e">
        <f t="shared" ca="1" si="30"/>
        <v>#REF!</v>
      </c>
      <c r="AK119" s="293" t="e">
        <f t="shared" ca="1" si="30"/>
        <v>#REF!</v>
      </c>
      <c r="AL119" s="293" t="e">
        <f t="shared" ca="1" si="30"/>
        <v>#REF!</v>
      </c>
      <c r="AM119" s="293" t="e">
        <f t="shared" ca="1" si="30"/>
        <v>#REF!</v>
      </c>
      <c r="AN119" s="293" t="e">
        <f t="shared" ca="1" si="30"/>
        <v>#REF!</v>
      </c>
      <c r="AO119" s="293" t="e">
        <f t="shared" ca="1" si="30"/>
        <v>#REF!</v>
      </c>
      <c r="AP119" s="293" t="e">
        <f t="shared" ca="1" si="30"/>
        <v>#REF!</v>
      </c>
      <c r="AQ119" s="293" t="e">
        <f t="shared" ca="1" si="30"/>
        <v>#REF!</v>
      </c>
    </row>
    <row r="120" spans="1:44" x14ac:dyDescent="0.25">
      <c r="A120" s="343"/>
      <c r="B120" s="350" t="s">
        <v>694</v>
      </c>
      <c r="C120" s="348">
        <f>VLOOKUP(C$107, '-calcs-'!$B$721:$W$732, 17, FALSE)</f>
        <v>0</v>
      </c>
      <c r="D120" s="343" t="s">
        <v>44</v>
      </c>
      <c r="E120" s="353"/>
      <c r="F120" s="410"/>
      <c r="AE120" s="295" t="str">
        <f>E139</f>
        <v/>
      </c>
      <c r="AF120" s="293" t="str">
        <f t="shared" ref="AF120:AQ120" si="31">$AE120</f>
        <v/>
      </c>
      <c r="AG120" s="293" t="str">
        <f t="shared" si="31"/>
        <v/>
      </c>
      <c r="AH120" s="293" t="str">
        <f t="shared" si="31"/>
        <v/>
      </c>
      <c r="AI120" s="293" t="str">
        <f t="shared" si="31"/>
        <v/>
      </c>
      <c r="AJ120" s="293" t="str">
        <f t="shared" si="31"/>
        <v/>
      </c>
      <c r="AK120" s="293" t="str">
        <f t="shared" si="31"/>
        <v/>
      </c>
      <c r="AL120" s="293" t="str">
        <f t="shared" si="31"/>
        <v/>
      </c>
      <c r="AM120" s="293" t="str">
        <f t="shared" si="31"/>
        <v/>
      </c>
      <c r="AN120" s="293" t="str">
        <f t="shared" si="31"/>
        <v/>
      </c>
      <c r="AO120" s="293" t="str">
        <f t="shared" si="31"/>
        <v/>
      </c>
      <c r="AP120" s="293" t="str">
        <f t="shared" si="31"/>
        <v/>
      </c>
      <c r="AQ120" s="293" t="str">
        <f t="shared" si="31"/>
        <v/>
      </c>
    </row>
    <row r="121" spans="1:44" x14ac:dyDescent="0.25">
      <c r="A121" s="343"/>
      <c r="B121" s="350" t="s">
        <v>156</v>
      </c>
      <c r="C121" s="348">
        <f>VLOOKUP(C$107, '-calcs-'!$B$721:$W$732, 18, FALSE)</f>
        <v>0</v>
      </c>
      <c r="D121" s="343" t="s">
        <v>89</v>
      </c>
      <c r="E121" s="353"/>
      <c r="F121" s="410"/>
      <c r="N121" s="291">
        <v>5</v>
      </c>
      <c r="O121" s="291">
        <v>6</v>
      </c>
      <c r="P121" s="291">
        <v>7</v>
      </c>
      <c r="Q121" s="291">
        <v>8</v>
      </c>
      <c r="R121" s="291">
        <v>9</v>
      </c>
      <c r="S121" s="291">
        <v>10</v>
      </c>
      <c r="T121" s="291">
        <v>11</v>
      </c>
      <c r="U121" s="291">
        <v>12</v>
      </c>
      <c r="V121" s="291">
        <v>13</v>
      </c>
      <c r="W121" s="291">
        <v>14</v>
      </c>
      <c r="X121" s="291">
        <v>15</v>
      </c>
      <c r="Y121" s="291">
        <v>16</v>
      </c>
      <c r="Z121" s="291">
        <v>17</v>
      </c>
      <c r="AE121" s="292" t="str">
        <f>D139</f>
        <v/>
      </c>
      <c r="AF121" s="293" t="e">
        <f t="shared" ref="AF121:AQ121" ca="1" si="32">IF($C142=0, $K115, VLOOKUP($C143, INDIRECT("'Solar-tables'!"&amp; VLOOKUP(AF123,INDIRECT($AD133), 2, FALSE)), (ROUND($C142, 10)/10+2), FALSE))</f>
        <v>#N/A</v>
      </c>
      <c r="AG121" s="293" t="e">
        <f t="shared" ca="1" si="32"/>
        <v>#N/A</v>
      </c>
      <c r="AH121" s="293" t="e">
        <f t="shared" ca="1" si="32"/>
        <v>#N/A</v>
      </c>
      <c r="AI121" s="293" t="e">
        <f t="shared" ca="1" si="32"/>
        <v>#N/A</v>
      </c>
      <c r="AJ121" s="293" t="e">
        <f t="shared" ca="1" si="32"/>
        <v>#N/A</v>
      </c>
      <c r="AK121" s="293" t="e">
        <f t="shared" ca="1" si="32"/>
        <v>#N/A</v>
      </c>
      <c r="AL121" s="293" t="e">
        <f t="shared" ca="1" si="32"/>
        <v>#N/A</v>
      </c>
      <c r="AM121" s="293" t="e">
        <f t="shared" ca="1" si="32"/>
        <v>#N/A</v>
      </c>
      <c r="AN121" s="293" t="e">
        <f t="shared" ca="1" si="32"/>
        <v>#N/A</v>
      </c>
      <c r="AO121" s="293" t="e">
        <f t="shared" ca="1" si="32"/>
        <v>#N/A</v>
      </c>
      <c r="AP121" s="293" t="e">
        <f t="shared" ca="1" si="32"/>
        <v>#N/A</v>
      </c>
      <c r="AQ121" s="293" t="e">
        <f t="shared" ca="1" si="32"/>
        <v>#N/A</v>
      </c>
    </row>
    <row r="122" spans="1:44" x14ac:dyDescent="0.25">
      <c r="A122" s="343"/>
      <c r="B122" s="350" t="s">
        <v>45</v>
      </c>
      <c r="C122" s="348">
        <f>VLOOKUP(C$107, '-calcs-'!$B$721:$W$732, 19, FALSE)</f>
        <v>0</v>
      </c>
      <c r="D122" s="343" t="s">
        <v>46</v>
      </c>
      <c r="E122" s="353"/>
      <c r="F122" s="410"/>
      <c r="J122" s="260" t="s">
        <v>447</v>
      </c>
      <c r="N122" s="296">
        <f ca="1">IF($C142=0, $K115, IF($D139="", VLOOKUP($C143, INDIRECT(VLOOKUP(N123,INDIRECT($AD29), 2, FALSE)), (ROUND($C142, 10)/10+2), FALSE), AF20))</f>
        <v>1</v>
      </c>
      <c r="O122" s="296">
        <f t="shared" ref="O122:Q122" ca="1" si="33">IF($C142=0, $K115, IF($D139="", VLOOKUP($C143, INDIRECT(VLOOKUP(O123,INDIRECT($AD29), 2, FALSE)), (ROUND($C142, 10)/10+2), FALSE), AG20))</f>
        <v>1.05</v>
      </c>
      <c r="P122" s="296">
        <f t="shared" ca="1" si="33"/>
        <v>1.1299999999999999</v>
      </c>
      <c r="Q122" s="296">
        <f t="shared" ca="1" si="33"/>
        <v>1.24</v>
      </c>
      <c r="R122" s="296">
        <f t="shared" ref="R122" ca="1" si="34">IF($C142=0, $K115, IF($D139="", VLOOKUP($C143, INDIRECT(VLOOKUP(R123,INDIRECT($AD29), 2, FALSE)), (ROUND($C142, 10)/10+2), FALSE), AJ20))</f>
        <v>1.37</v>
      </c>
      <c r="S122" s="296">
        <f t="shared" ref="S122:T122" ca="1" si="35">IF($C142=0, $K115, IF($D139="", VLOOKUP($C143, INDIRECT(VLOOKUP(S123,INDIRECT($AD29), 2, FALSE)), (ROUND($C142, 10)/10+2), FALSE), AK20))</f>
        <v>1.42</v>
      </c>
      <c r="T122" s="296">
        <f t="shared" ca="1" si="35"/>
        <v>1.41</v>
      </c>
      <c r="U122" s="296">
        <f t="shared" ref="U122" ca="1" si="36">IF($C142=0, $K115, IF($D139="", VLOOKUP($C143, INDIRECT(VLOOKUP(U123,INDIRECT($AD29), 2, FALSE)), (ROUND($C142, 10)/10+2), FALSE), AM20))</f>
        <v>1.3</v>
      </c>
      <c r="V122" s="296">
        <f t="shared" ref="V122:W122" ca="1" si="37">IF($C142=0, $K115, IF($D139="", VLOOKUP($C143, INDIRECT(VLOOKUP(V123,INDIRECT($AD29), 2, FALSE)), (ROUND($C142, 10)/10+2), FALSE), AN20))</f>
        <v>1.17</v>
      </c>
      <c r="W122" s="296">
        <f t="shared" ca="1" si="37"/>
        <v>1.07</v>
      </c>
      <c r="X122" s="296">
        <f t="shared" ref="X122" ca="1" si="38">IF($C142=0, $K115, IF($D139="", VLOOKUP($C143, INDIRECT(VLOOKUP(X123,INDIRECT($AD29), 2, FALSE)), (ROUND($C142, 10)/10+2), FALSE), AP20))</f>
        <v>1.01</v>
      </c>
      <c r="Y122" s="296">
        <f t="shared" ref="Y122" ca="1" si="39">IF($C142=0, $K115, IF($D139="", VLOOKUP($C143, INDIRECT(VLOOKUP(Y123,INDIRECT($AD29), 2, FALSE)), (ROUND($C142, 10)/10+2), FALSE), AQ20))</f>
        <v>0.98</v>
      </c>
      <c r="Z122" s="263"/>
      <c r="AE122" s="260" t="s">
        <v>456</v>
      </c>
      <c r="AF122" s="288" t="e">
        <f t="shared" ref="AF122:AQ122" ca="1" si="40">IF(AF119&gt;AF121, AF119-(ABS(AF119-AF121)*AF120), AF119+ABS(AF119-AF121)*AF120)</f>
        <v>#REF!</v>
      </c>
      <c r="AG122" s="288" t="e">
        <f t="shared" ca="1" si="40"/>
        <v>#REF!</v>
      </c>
      <c r="AH122" s="288" t="e">
        <f t="shared" ca="1" si="40"/>
        <v>#REF!</v>
      </c>
      <c r="AI122" s="288" t="e">
        <f t="shared" ca="1" si="40"/>
        <v>#REF!</v>
      </c>
      <c r="AJ122" s="288" t="e">
        <f t="shared" ca="1" si="40"/>
        <v>#REF!</v>
      </c>
      <c r="AK122" s="288" t="e">
        <f t="shared" ca="1" si="40"/>
        <v>#REF!</v>
      </c>
      <c r="AL122" s="288" t="e">
        <f t="shared" ca="1" si="40"/>
        <v>#REF!</v>
      </c>
      <c r="AM122" s="288" t="e">
        <f t="shared" ca="1" si="40"/>
        <v>#REF!</v>
      </c>
      <c r="AN122" s="288" t="e">
        <f t="shared" ca="1" si="40"/>
        <v>#REF!</v>
      </c>
      <c r="AO122" s="288" t="e">
        <f t="shared" ca="1" si="40"/>
        <v>#REF!</v>
      </c>
      <c r="AP122" s="288" t="e">
        <f t="shared" ca="1" si="40"/>
        <v>#REF!</v>
      </c>
      <c r="AQ122" s="288" t="e">
        <f t="shared" ca="1" si="40"/>
        <v>#REF!</v>
      </c>
    </row>
    <row r="123" spans="1:44" x14ac:dyDescent="0.25">
      <c r="A123" s="343"/>
      <c r="B123" s="350" t="s">
        <v>47</v>
      </c>
      <c r="C123" s="348">
        <f>VLOOKUP(C$107, '-calcs-'!$B$721:$W$732, 20, FALSE)</f>
        <v>0</v>
      </c>
      <c r="D123" s="343" t="s">
        <v>46</v>
      </c>
      <c r="E123" s="353"/>
      <c r="F123" s="410"/>
      <c r="J123" s="279" t="s">
        <v>186</v>
      </c>
      <c r="N123" s="318" t="s">
        <v>187</v>
      </c>
      <c r="O123" s="318" t="s">
        <v>188</v>
      </c>
      <c r="P123" s="318" t="s">
        <v>189</v>
      </c>
      <c r="Q123" s="318" t="s">
        <v>190</v>
      </c>
      <c r="R123" s="318" t="s">
        <v>35</v>
      </c>
      <c r="S123" s="318" t="s">
        <v>191</v>
      </c>
      <c r="T123" s="318" t="s">
        <v>192</v>
      </c>
      <c r="U123" s="318" t="s">
        <v>193</v>
      </c>
      <c r="V123" s="318" t="s">
        <v>194</v>
      </c>
      <c r="W123" s="318" t="s">
        <v>195</v>
      </c>
      <c r="X123" s="318" t="s">
        <v>196</v>
      </c>
      <c r="Y123" s="318" t="s">
        <v>197</v>
      </c>
      <c r="Z123" s="318" t="s">
        <v>198</v>
      </c>
      <c r="AE123" s="295"/>
      <c r="AF123" s="318" t="s">
        <v>187</v>
      </c>
      <c r="AG123" s="318" t="s">
        <v>188</v>
      </c>
      <c r="AH123" s="318" t="s">
        <v>189</v>
      </c>
      <c r="AI123" s="318" t="s">
        <v>190</v>
      </c>
      <c r="AJ123" s="318" t="s">
        <v>35</v>
      </c>
      <c r="AK123" s="318" t="s">
        <v>191</v>
      </c>
      <c r="AL123" s="318" t="s">
        <v>192</v>
      </c>
      <c r="AM123" s="318" t="s">
        <v>193</v>
      </c>
      <c r="AN123" s="318" t="s">
        <v>194</v>
      </c>
      <c r="AO123" s="318" t="s">
        <v>195</v>
      </c>
      <c r="AP123" s="318" t="s">
        <v>196</v>
      </c>
      <c r="AQ123" s="318" t="s">
        <v>197</v>
      </c>
      <c r="AR123" s="318" t="s">
        <v>198</v>
      </c>
    </row>
    <row r="124" spans="1:44" x14ac:dyDescent="0.25">
      <c r="A124" s="343"/>
      <c r="B124" s="350" t="s">
        <v>48</v>
      </c>
      <c r="C124" s="348">
        <f>VLOOKUP(C$107, '-calcs-'!$B$721:$W$732, 21, FALSE)</f>
        <v>0</v>
      </c>
      <c r="D124" s="343" t="s">
        <v>46</v>
      </c>
      <c r="E124" s="353"/>
      <c r="F124" s="410"/>
      <c r="J124" s="413" t="str">
        <f>"PSH for "&amp;J115&amp;" at tilt "&amp;C142&amp;" and azimuth "&amp;C143</f>
        <v>PSH for Sydney at tilt 20 and azimuth 20</v>
      </c>
      <c r="K124" s="413"/>
      <c r="L124" s="413"/>
      <c r="M124" s="413"/>
      <c r="N124" s="263">
        <f>IF($E140="",HLOOKUP($C139,'-calcs-'!$D208:$L224,N121,FALSE),AF125)</f>
        <v>6.4</v>
      </c>
      <c r="O124" s="263">
        <f>IF($E140="",HLOOKUP($C139,'-calcs-'!$D208:$L224,O121,FALSE),AG125)</f>
        <v>5.6</v>
      </c>
      <c r="P124" s="263">
        <f>IF($E140="",HLOOKUP($C139,'-calcs-'!$D208:$L224,P121,FALSE),AH125)</f>
        <v>4.8</v>
      </c>
      <c r="Q124" s="263">
        <f>IF($E140="",HLOOKUP($C139,'-calcs-'!$D208:$L224,Q121,FALSE),AI125)</f>
        <v>3.8</v>
      </c>
      <c r="R124" s="263">
        <f>IF($E140="",HLOOKUP($C139,'-calcs-'!$D208:$L224,R121,FALSE),AJ125)</f>
        <v>2.9</v>
      </c>
      <c r="S124" s="263">
        <f>IF($E140="",HLOOKUP($C139,'-calcs-'!$D208:$L224,S121,FALSE),AK125)</f>
        <v>2.4</v>
      </c>
      <c r="T124" s="263">
        <f>IF($E140="",HLOOKUP($C139,'-calcs-'!$D208:$L224,T121,FALSE),AL125)</f>
        <v>2.7</v>
      </c>
      <c r="U124" s="263">
        <f>IF($E140="",HLOOKUP($C139,'-calcs-'!$D208:$L224,U121,FALSE),AM125)</f>
        <v>3.6</v>
      </c>
      <c r="V124" s="263">
        <f>IF($E140="",HLOOKUP($C139,'-calcs-'!$D208:$L224,V121,FALSE),AN125)</f>
        <v>4.7</v>
      </c>
      <c r="W124" s="263">
        <f>IF($E140="",HLOOKUP($C139,'-calcs-'!$D208:$L224,W121,FALSE),AO125)</f>
        <v>5.6</v>
      </c>
      <c r="X124" s="263">
        <f>IF($E140="",HLOOKUP($C139,'-calcs-'!$D208:$L224,X121,FALSE),AP125)</f>
        <v>6</v>
      </c>
      <c r="Y124" s="263">
        <f>IF($E140="",HLOOKUP($C139,'-calcs-'!$D208:$L224,Y121,FALSE),AQ125)</f>
        <v>6.5</v>
      </c>
      <c r="Z124" s="263">
        <f>IF($E140="",HLOOKUP($C139,'-calcs-'!$D208:$L224,Z121,FALSE),AR125)</f>
        <v>4.5999999999999996</v>
      </c>
    </row>
    <row r="125" spans="1:44" x14ac:dyDescent="0.25">
      <c r="A125" s="343"/>
      <c r="B125" s="350" t="s">
        <v>49</v>
      </c>
      <c r="C125" s="348">
        <f>VLOOKUP(C$107, '-calcs-'!$B$721:$W$732, 22, FALSE)</f>
        <v>0</v>
      </c>
      <c r="D125" s="343" t="s">
        <v>50</v>
      </c>
      <c r="E125" s="353"/>
      <c r="F125" s="410"/>
      <c r="J125" s="413" t="s">
        <v>199</v>
      </c>
      <c r="K125" s="413"/>
      <c r="L125" s="413"/>
      <c r="M125" s="413"/>
      <c r="N125" s="319">
        <f t="shared" ref="N125:Y125" ca="1" si="41">$J117*$J116*N124*$L113/1000*N$122</f>
        <v>0</v>
      </c>
      <c r="O125" s="319">
        <f t="shared" ca="1" si="41"/>
        <v>0</v>
      </c>
      <c r="P125" s="319">
        <f t="shared" ca="1" si="41"/>
        <v>0</v>
      </c>
      <c r="Q125" s="319">
        <f t="shared" ca="1" si="41"/>
        <v>0</v>
      </c>
      <c r="R125" s="319">
        <f t="shared" ca="1" si="41"/>
        <v>0</v>
      </c>
      <c r="S125" s="319">
        <f t="shared" ca="1" si="41"/>
        <v>0</v>
      </c>
      <c r="T125" s="319">
        <f t="shared" ca="1" si="41"/>
        <v>0</v>
      </c>
      <c r="U125" s="319">
        <f t="shared" ca="1" si="41"/>
        <v>0</v>
      </c>
      <c r="V125" s="319">
        <f t="shared" ca="1" si="41"/>
        <v>0</v>
      </c>
      <c r="W125" s="319">
        <f t="shared" ca="1" si="41"/>
        <v>0</v>
      </c>
      <c r="X125" s="319">
        <f t="shared" ca="1" si="41"/>
        <v>0</v>
      </c>
      <c r="Y125" s="319">
        <f t="shared" ca="1" si="41"/>
        <v>0</v>
      </c>
      <c r="Z125" s="319">
        <f ca="1">AVERAGE(N125:Y125)</f>
        <v>0</v>
      </c>
      <c r="AA125" s="297"/>
      <c r="AE125" s="298" t="str">
        <f>'-calcs-'!AE23</f>
        <v>PSH-</v>
      </c>
      <c r="AF125" s="260">
        <f>'-calcs-'!AF23</f>
        <v>6.3</v>
      </c>
      <c r="AG125" s="260">
        <f>'-calcs-'!AG23</f>
        <v>5.5</v>
      </c>
      <c r="AH125" s="260">
        <f>'-calcs-'!AH23</f>
        <v>4.5999999999999996</v>
      </c>
      <c r="AI125" s="260">
        <f>'-calcs-'!AI23</f>
        <v>4.0999999999999996</v>
      </c>
      <c r="AJ125" s="260">
        <f>'-calcs-'!AJ23</f>
        <v>3.4</v>
      </c>
      <c r="AK125" s="260">
        <f>'-calcs-'!AK23</f>
        <v>2.9</v>
      </c>
      <c r="AL125" s="260">
        <f>'-calcs-'!AL23</f>
        <v>3.2</v>
      </c>
      <c r="AM125" s="260">
        <f>'-calcs-'!AM23</f>
        <v>4.0999999999999996</v>
      </c>
      <c r="AN125" s="260">
        <f>'-calcs-'!AN23</f>
        <v>4.9000000000000004</v>
      </c>
      <c r="AO125" s="260">
        <f>'-calcs-'!AO23</f>
        <v>5.6</v>
      </c>
      <c r="AP125" s="260">
        <f>'-calcs-'!AP23</f>
        <v>6.1</v>
      </c>
      <c r="AQ125" s="260">
        <f>'-calcs-'!AQ23</f>
        <v>6</v>
      </c>
      <c r="AR125" s="320">
        <f>AVERAGE(AF125:AQ125)</f>
        <v>4.7249999999999996</v>
      </c>
    </row>
    <row r="126" spans="1:44" x14ac:dyDescent="0.25">
      <c r="A126" s="343"/>
      <c r="B126" s="350" t="s">
        <v>51</v>
      </c>
      <c r="C126" s="348">
        <f>VLOOKUP(C$107, '-calcs-'!$B$721:$W$732, 4, FALSE)</f>
        <v>0</v>
      </c>
      <c r="D126" s="343"/>
      <c r="E126" s="353"/>
      <c r="F126" s="410"/>
      <c r="J126" s="413" t="s">
        <v>200</v>
      </c>
      <c r="K126" s="413"/>
      <c r="L126" s="413"/>
      <c r="M126" s="413"/>
      <c r="N126" s="296">
        <f t="shared" ref="N126:Z126" si="42">$J116*$J117*$J118</f>
        <v>0.92149999999999999</v>
      </c>
      <c r="O126" s="296">
        <f t="shared" si="42"/>
        <v>0.92149999999999999</v>
      </c>
      <c r="P126" s="296">
        <f t="shared" si="42"/>
        <v>0.92149999999999999</v>
      </c>
      <c r="Q126" s="296">
        <f t="shared" si="42"/>
        <v>0.92149999999999999</v>
      </c>
      <c r="R126" s="296">
        <f t="shared" si="42"/>
        <v>0.92149999999999999</v>
      </c>
      <c r="S126" s="296">
        <f t="shared" si="42"/>
        <v>0.92149999999999999</v>
      </c>
      <c r="T126" s="296">
        <f t="shared" si="42"/>
        <v>0.92149999999999999</v>
      </c>
      <c r="U126" s="296">
        <f t="shared" si="42"/>
        <v>0.92149999999999999</v>
      </c>
      <c r="V126" s="296">
        <f t="shared" si="42"/>
        <v>0.92149999999999999</v>
      </c>
      <c r="W126" s="296">
        <f t="shared" si="42"/>
        <v>0.92149999999999999</v>
      </c>
      <c r="X126" s="296">
        <f t="shared" si="42"/>
        <v>0.92149999999999999</v>
      </c>
      <c r="Y126" s="296">
        <f t="shared" si="42"/>
        <v>0.92149999999999999</v>
      </c>
      <c r="Z126" s="296">
        <f t="shared" si="42"/>
        <v>0.92149999999999999</v>
      </c>
    </row>
    <row r="127" spans="1:44" x14ac:dyDescent="0.25">
      <c r="A127" s="343"/>
      <c r="B127" s="350" t="s">
        <v>52</v>
      </c>
      <c r="C127" s="348">
        <f>VLOOKUP(C$107, '-calcs-'!$B$721:$W$732, 5, FALSE)</f>
        <v>0</v>
      </c>
      <c r="D127" s="343"/>
      <c r="E127" s="353"/>
      <c r="F127" s="410"/>
      <c r="I127" s="299" t="s">
        <v>659</v>
      </c>
      <c r="J127" s="413" t="s">
        <v>201</v>
      </c>
      <c r="K127" s="413"/>
      <c r="L127" s="413"/>
      <c r="M127" s="413"/>
      <c r="N127" s="321">
        <f t="shared" ref="N127:Z127" ca="1" si="43">N125*N126</f>
        <v>0</v>
      </c>
      <c r="O127" s="321">
        <f t="shared" ca="1" si="43"/>
        <v>0</v>
      </c>
      <c r="P127" s="321">
        <f t="shared" ca="1" si="43"/>
        <v>0</v>
      </c>
      <c r="Q127" s="321">
        <f t="shared" ca="1" si="43"/>
        <v>0</v>
      </c>
      <c r="R127" s="321">
        <f t="shared" ca="1" si="43"/>
        <v>0</v>
      </c>
      <c r="S127" s="321">
        <f t="shared" ca="1" si="43"/>
        <v>0</v>
      </c>
      <c r="T127" s="321">
        <f t="shared" ca="1" si="43"/>
        <v>0</v>
      </c>
      <c r="U127" s="321">
        <f t="shared" ca="1" si="43"/>
        <v>0</v>
      </c>
      <c r="V127" s="321">
        <f t="shared" ca="1" si="43"/>
        <v>0</v>
      </c>
      <c r="W127" s="321">
        <f t="shared" ca="1" si="43"/>
        <v>0</v>
      </c>
      <c r="X127" s="321">
        <f t="shared" ca="1" si="43"/>
        <v>0</v>
      </c>
      <c r="Y127" s="321">
        <f t="shared" ca="1" si="43"/>
        <v>0</v>
      </c>
      <c r="Z127" s="321">
        <f t="shared" ca="1" si="43"/>
        <v>0</v>
      </c>
      <c r="AG127" s="265" t="s">
        <v>481</v>
      </c>
      <c r="AH127" s="265"/>
      <c r="AI127" s="265"/>
      <c r="AJ127" s="265"/>
      <c r="AK127" s="265"/>
      <c r="AL127" s="265"/>
      <c r="AM127" s="265"/>
      <c r="AN127" s="265"/>
    </row>
    <row r="128" spans="1:44" x14ac:dyDescent="0.25">
      <c r="A128" s="343"/>
      <c r="B128" s="350" t="s">
        <v>692</v>
      </c>
      <c r="C128" s="357">
        <f>Loads!O75</f>
        <v>21</v>
      </c>
      <c r="D128" s="343" t="s">
        <v>89</v>
      </c>
      <c r="E128" s="353"/>
      <c r="F128" s="410"/>
      <c r="I128" s="279" t="s">
        <v>657</v>
      </c>
      <c r="J128" s="413" t="s">
        <v>658</v>
      </c>
      <c r="K128" s="413"/>
      <c r="L128" s="413"/>
      <c r="M128" s="413"/>
      <c r="N128" s="321">
        <f ca="1">'-calcs-'!N25+N127</f>
        <v>34.368305424742402</v>
      </c>
      <c r="O128" s="321">
        <f ca="1">'-calcs-'!O25+O127</f>
        <v>31.575880608982075</v>
      </c>
      <c r="P128" s="321">
        <f ca="1">'-calcs-'!P25+P127</f>
        <v>29.12713884746918</v>
      </c>
      <c r="Q128" s="321">
        <f ca="1">'-calcs-'!Q25+Q127</f>
        <v>25.303664868966585</v>
      </c>
      <c r="R128" s="321">
        <f ca="1">'-calcs-'!R25+R127</f>
        <v>21.33519960195337</v>
      </c>
      <c r="S128" s="321">
        <f ca="1">'-calcs-'!S25+S127</f>
        <v>18.301122638675327</v>
      </c>
      <c r="T128" s="321">
        <f ca="1">'-calcs-'!T25+T127</f>
        <v>20.443771679999113</v>
      </c>
      <c r="U128" s="321">
        <f ca="1">'-calcs-'!U25+U127</f>
        <v>25.131823341842882</v>
      </c>
      <c r="V128" s="321">
        <f ca="1">'-calcs-'!V25+V127</f>
        <v>29.529892426665384</v>
      </c>
      <c r="W128" s="321">
        <f ca="1">'-calcs-'!W25+W127</f>
        <v>32.177325953915073</v>
      </c>
      <c r="X128" s="321">
        <f ca="1">'-calcs-'!X25+X127</f>
        <v>32.542489199052959</v>
      </c>
      <c r="Y128" s="321">
        <f ca="1">'-calcs-'!Y25+Y127</f>
        <v>34.207203993063921</v>
      </c>
      <c r="Z128" s="321">
        <f ca="1">'-calcs-'!Z25+Z127</f>
        <v>29.228249561224999</v>
      </c>
      <c r="AG128" s="265"/>
      <c r="AH128" s="265"/>
      <c r="AI128" s="265"/>
      <c r="AJ128" s="265"/>
      <c r="AK128" s="265"/>
      <c r="AL128" s="265"/>
      <c r="AM128" s="265"/>
      <c r="AN128" s="265"/>
    </row>
    <row r="129" spans="1:40" x14ac:dyDescent="0.25">
      <c r="A129" s="343"/>
      <c r="B129" s="350" t="s">
        <v>693</v>
      </c>
      <c r="C129" s="357">
        <f>Loads!O76-3</f>
        <v>5</v>
      </c>
      <c r="D129" s="343" t="s">
        <v>89</v>
      </c>
      <c r="E129" s="353"/>
      <c r="F129" s="348"/>
      <c r="J129" s="413"/>
      <c r="K129" s="413"/>
      <c r="L129" s="413"/>
      <c r="M129" s="413"/>
      <c r="N129" s="300">
        <f t="shared" ref="N129:Z129" ca="1" si="44">$Z127</f>
        <v>0</v>
      </c>
      <c r="O129" s="300">
        <f t="shared" ca="1" si="44"/>
        <v>0</v>
      </c>
      <c r="P129" s="300">
        <f t="shared" ca="1" si="44"/>
        <v>0</v>
      </c>
      <c r="Q129" s="300">
        <f t="shared" ca="1" si="44"/>
        <v>0</v>
      </c>
      <c r="R129" s="300">
        <f t="shared" ca="1" si="44"/>
        <v>0</v>
      </c>
      <c r="S129" s="300">
        <f t="shared" ca="1" si="44"/>
        <v>0</v>
      </c>
      <c r="T129" s="300">
        <f t="shared" ca="1" si="44"/>
        <v>0</v>
      </c>
      <c r="U129" s="300">
        <f t="shared" ca="1" si="44"/>
        <v>0</v>
      </c>
      <c r="V129" s="300">
        <f t="shared" ca="1" si="44"/>
        <v>0</v>
      </c>
      <c r="W129" s="300">
        <f t="shared" ca="1" si="44"/>
        <v>0</v>
      </c>
      <c r="X129" s="300">
        <f t="shared" ca="1" si="44"/>
        <v>0</v>
      </c>
      <c r="Y129" s="300">
        <f t="shared" ca="1" si="44"/>
        <v>0</v>
      </c>
      <c r="Z129" s="300">
        <f t="shared" ca="1" si="44"/>
        <v>0</v>
      </c>
      <c r="AD129" s="279" t="s">
        <v>457</v>
      </c>
      <c r="AE129" s="279"/>
      <c r="AG129" s="265" t="s">
        <v>482</v>
      </c>
      <c r="AH129" s="265"/>
      <c r="AI129" s="265"/>
      <c r="AJ129" s="265"/>
      <c r="AK129" s="265"/>
      <c r="AL129" s="265"/>
      <c r="AM129" s="265"/>
      <c r="AN129" s="265"/>
    </row>
    <row r="130" spans="1:40" x14ac:dyDescent="0.25">
      <c r="A130" s="343"/>
      <c r="B130" s="350" t="s">
        <v>53</v>
      </c>
      <c r="C130" s="351">
        <f>C126*C114</f>
        <v>0</v>
      </c>
      <c r="D130" s="343" t="s">
        <v>34</v>
      </c>
      <c r="E130" s="348"/>
      <c r="F130" s="348"/>
      <c r="G130" s="301"/>
      <c r="I130" s="302" t="s">
        <v>239</v>
      </c>
      <c r="J130" s="260" t="s">
        <v>202</v>
      </c>
      <c r="L130" s="304"/>
      <c r="M130" s="303"/>
      <c r="N130" s="303">
        <f>N138*31</f>
        <v>441.33152743829783</v>
      </c>
      <c r="O130" s="303">
        <f>O138*28.25</f>
        <v>402.1811500042553</v>
      </c>
      <c r="P130" s="303">
        <f>P138*31</f>
        <v>441.33152743829783</v>
      </c>
      <c r="Q130" s="303">
        <f>Q138*30</f>
        <v>377.21610900000002</v>
      </c>
      <c r="R130" s="303">
        <f>R138*31</f>
        <v>389.78997930000003</v>
      </c>
      <c r="S130" s="303">
        <f>S138*30</f>
        <v>402.15556777659577</v>
      </c>
      <c r="T130" s="303">
        <f>T138*31</f>
        <v>415.56075336914893</v>
      </c>
      <c r="U130" s="303">
        <f>U138*31</f>
        <v>415.56075336914893</v>
      </c>
      <c r="V130" s="303">
        <f>V138*31</f>
        <v>389.78997930000003</v>
      </c>
      <c r="W130" s="303">
        <f>W138*30</f>
        <v>377.21610900000002</v>
      </c>
      <c r="X130" s="303">
        <f>X138*30</f>
        <v>427.09502655319147</v>
      </c>
      <c r="Y130" s="303">
        <f>Y138*31</f>
        <v>441.33152743829783</v>
      </c>
      <c r="Z130" s="303"/>
    </row>
    <row r="131" spans="1:40" x14ac:dyDescent="0.25">
      <c r="A131" s="343"/>
      <c r="B131" s="350" t="s">
        <v>157</v>
      </c>
      <c r="C131" s="348">
        <f>C130+C119*(C129-C121)*C126</f>
        <v>0</v>
      </c>
      <c r="D131" s="343"/>
      <c r="E131" s="348"/>
      <c r="F131" s="348" t="s">
        <v>158</v>
      </c>
      <c r="G131" s="260" t="s">
        <v>619</v>
      </c>
      <c r="I131" s="323">
        <f>N131*N148</f>
        <v>425.83333333333337</v>
      </c>
      <c r="J131" s="260" t="s">
        <v>240</v>
      </c>
      <c r="L131" s="304"/>
      <c r="M131" s="303"/>
      <c r="N131" s="290">
        <f>'-calcs-'!N29</f>
        <v>14</v>
      </c>
      <c r="O131" s="290">
        <f>'-calcs-'!O29</f>
        <v>14</v>
      </c>
      <c r="P131" s="290">
        <f>'-calcs-'!P29</f>
        <v>14</v>
      </c>
      <c r="Q131" s="290">
        <f>'-calcs-'!Q29</f>
        <v>14</v>
      </c>
      <c r="R131" s="290">
        <f>'-calcs-'!R29</f>
        <v>14</v>
      </c>
      <c r="S131" s="290">
        <f>'-calcs-'!S29</f>
        <v>14</v>
      </c>
      <c r="T131" s="290">
        <f>'-calcs-'!T29</f>
        <v>14</v>
      </c>
      <c r="U131" s="290">
        <f>'-calcs-'!U29</f>
        <v>14</v>
      </c>
      <c r="V131" s="290">
        <f>'-calcs-'!V29</f>
        <v>14</v>
      </c>
      <c r="W131" s="290">
        <f>'-calcs-'!W29</f>
        <v>14</v>
      </c>
      <c r="X131" s="290">
        <f>'-calcs-'!X29</f>
        <v>14</v>
      </c>
      <c r="Y131" s="290">
        <f>'-calcs-'!Y29</f>
        <v>14</v>
      </c>
      <c r="Z131" s="303"/>
      <c r="AC131" s="263" t="s">
        <v>6</v>
      </c>
      <c r="AD131" s="260" t="str">
        <f>"'Solar-tables'!"&amp;VLOOKUP(J115, '-calcs-'!O219:P228, 2, FALSE)</f>
        <v>'Solar-tables'!AD212:AE223</v>
      </c>
      <c r="AE131" s="260" t="s">
        <v>458</v>
      </c>
    </row>
    <row r="132" spans="1:40" x14ac:dyDescent="0.25">
      <c r="A132" s="343"/>
      <c r="B132" s="350" t="s">
        <v>55</v>
      </c>
      <c r="C132" s="348">
        <f>C127*C126*C111</f>
        <v>0</v>
      </c>
      <c r="D132" s="348" t="s">
        <v>31</v>
      </c>
      <c r="E132" s="343"/>
      <c r="F132" s="348"/>
      <c r="I132" s="305">
        <f>I131/N148</f>
        <v>14</v>
      </c>
      <c r="J132" s="260" t="s">
        <v>241</v>
      </c>
      <c r="N132" s="290">
        <f t="shared" ref="N132:Y132" si="45">$X164</f>
        <v>10</v>
      </c>
      <c r="O132" s="290">
        <f t="shared" si="45"/>
        <v>10</v>
      </c>
      <c r="P132" s="290">
        <f t="shared" si="45"/>
        <v>10</v>
      </c>
      <c r="Q132" s="290">
        <f t="shared" si="45"/>
        <v>10</v>
      </c>
      <c r="R132" s="290">
        <f t="shared" si="45"/>
        <v>10</v>
      </c>
      <c r="S132" s="290">
        <f t="shared" si="45"/>
        <v>10</v>
      </c>
      <c r="T132" s="290">
        <f t="shared" si="45"/>
        <v>10</v>
      </c>
      <c r="U132" s="290">
        <f t="shared" si="45"/>
        <v>10</v>
      </c>
      <c r="V132" s="290">
        <f t="shared" si="45"/>
        <v>10</v>
      </c>
      <c r="W132" s="290">
        <f t="shared" si="45"/>
        <v>10</v>
      </c>
      <c r="X132" s="290">
        <f t="shared" si="45"/>
        <v>10</v>
      </c>
      <c r="Y132" s="290">
        <f t="shared" si="45"/>
        <v>10</v>
      </c>
      <c r="AC132" s="263" t="s">
        <v>299</v>
      </c>
      <c r="AD132" s="260" t="str">
        <f>"'Solar-tables'!"&amp;VLOOKUP(AE119, '-calcs-'!O219:P228, 2, FALSE)</f>
        <v>'Solar-tables'!AD212:AE223</v>
      </c>
      <c r="AE132" s="260" t="s">
        <v>459</v>
      </c>
    </row>
    <row r="133" spans="1:40" x14ac:dyDescent="0.25">
      <c r="A133" s="343"/>
      <c r="B133" s="350" t="s">
        <v>57</v>
      </c>
      <c r="C133" s="354" t="str">
        <f>IF(((C127-1)*C115)&gt;C117, "Yes", "No")</f>
        <v>No</v>
      </c>
      <c r="D133" s="348" t="s">
        <v>101</v>
      </c>
      <c r="E133" s="343">
        <f>(C127-1)*C115</f>
        <v>0</v>
      </c>
      <c r="F133" s="356" t="s">
        <v>58</v>
      </c>
      <c r="G133" s="260" t="s">
        <v>102</v>
      </c>
      <c r="I133" s="306" t="s">
        <v>73</v>
      </c>
      <c r="J133" s="260" t="s">
        <v>242</v>
      </c>
      <c r="N133" s="290">
        <f t="shared" ref="N133:Y133" si="46">$X165</f>
        <v>27.4</v>
      </c>
      <c r="O133" s="290">
        <f t="shared" si="46"/>
        <v>27.4</v>
      </c>
      <c r="P133" s="290">
        <f t="shared" si="46"/>
        <v>27.4</v>
      </c>
      <c r="Q133" s="290">
        <f t="shared" si="46"/>
        <v>27.4</v>
      </c>
      <c r="R133" s="290">
        <f t="shared" si="46"/>
        <v>27.4</v>
      </c>
      <c r="S133" s="290">
        <f t="shared" si="46"/>
        <v>27.4</v>
      </c>
      <c r="T133" s="290">
        <f t="shared" si="46"/>
        <v>27.4</v>
      </c>
      <c r="U133" s="290">
        <f t="shared" si="46"/>
        <v>27.4</v>
      </c>
      <c r="V133" s="290">
        <f t="shared" si="46"/>
        <v>27.4</v>
      </c>
      <c r="W133" s="290">
        <f t="shared" si="46"/>
        <v>27.4</v>
      </c>
      <c r="X133" s="290">
        <f t="shared" si="46"/>
        <v>27.4</v>
      </c>
      <c r="Y133" s="290">
        <f t="shared" si="46"/>
        <v>27.4</v>
      </c>
      <c r="AC133" s="263" t="s">
        <v>7</v>
      </c>
      <c r="AD133" s="260" t="e">
        <f>"'Solar-tables'!"&amp;VLOOKUP(AE121, '-calcs-'!O219:P228, 2, FALSE)</f>
        <v>#N/A</v>
      </c>
      <c r="AE133" s="260" t="s">
        <v>460</v>
      </c>
    </row>
    <row r="134" spans="1:40" x14ac:dyDescent="0.25">
      <c r="A134" s="361"/>
      <c r="B134" s="350" t="s">
        <v>60</v>
      </c>
      <c r="C134" s="351">
        <f>1.5*C115</f>
        <v>0</v>
      </c>
      <c r="D134" s="348" t="s">
        <v>6</v>
      </c>
      <c r="E134" s="343"/>
      <c r="F134" s="348" t="s">
        <v>61</v>
      </c>
      <c r="G134" s="260" t="s">
        <v>103</v>
      </c>
      <c r="J134" s="260" t="s">
        <v>203</v>
      </c>
      <c r="N134" s="303">
        <f t="shared" ref="N134:Y134" si="47">$Q162</f>
        <v>1.9998</v>
      </c>
      <c r="O134" s="303">
        <f t="shared" si="47"/>
        <v>1.9998</v>
      </c>
      <c r="P134" s="303">
        <f t="shared" si="47"/>
        <v>1.9998</v>
      </c>
      <c r="Q134" s="303">
        <f t="shared" si="47"/>
        <v>1.9998</v>
      </c>
      <c r="R134" s="303">
        <f t="shared" si="47"/>
        <v>1.9998</v>
      </c>
      <c r="S134" s="303">
        <f t="shared" si="47"/>
        <v>1.9998</v>
      </c>
      <c r="T134" s="303">
        <f t="shared" si="47"/>
        <v>1.9998</v>
      </c>
      <c r="U134" s="303">
        <f t="shared" si="47"/>
        <v>1.9998</v>
      </c>
      <c r="V134" s="303">
        <f t="shared" si="47"/>
        <v>1.9998</v>
      </c>
      <c r="W134" s="303">
        <f t="shared" si="47"/>
        <v>1.9998</v>
      </c>
      <c r="X134" s="303">
        <f t="shared" si="47"/>
        <v>1.9998</v>
      </c>
      <c r="Y134" s="303">
        <f t="shared" si="47"/>
        <v>1.9998</v>
      </c>
      <c r="Z134" s="303"/>
    </row>
    <row r="135" spans="1:40" x14ac:dyDescent="0.25">
      <c r="A135" s="350"/>
      <c r="B135" s="350" t="s">
        <v>63</v>
      </c>
      <c r="C135" s="351">
        <f>IF(2.4*C115&lt;C117, 2.4*C115, C117)</f>
        <v>0</v>
      </c>
      <c r="D135" s="348" t="s">
        <v>6</v>
      </c>
      <c r="E135" s="343"/>
      <c r="F135" s="348" t="s">
        <v>64</v>
      </c>
      <c r="G135" s="260" t="s">
        <v>103</v>
      </c>
      <c r="I135" s="307">
        <f>X164/X166</f>
        <v>0.26737967914438504</v>
      </c>
      <c r="J135" s="260" t="s">
        <v>204</v>
      </c>
      <c r="N135" s="303">
        <f t="shared" ref="N135:Y135" si="48">$L146</f>
        <v>0.115</v>
      </c>
      <c r="O135" s="303">
        <f t="shared" si="48"/>
        <v>0.115</v>
      </c>
      <c r="P135" s="303">
        <f t="shared" si="48"/>
        <v>0.115</v>
      </c>
      <c r="Q135" s="303">
        <f t="shared" si="48"/>
        <v>0.115</v>
      </c>
      <c r="R135" s="303">
        <f t="shared" si="48"/>
        <v>0.115</v>
      </c>
      <c r="S135" s="303">
        <f t="shared" si="48"/>
        <v>0.115</v>
      </c>
      <c r="T135" s="303">
        <f t="shared" si="48"/>
        <v>0.115</v>
      </c>
      <c r="U135" s="303">
        <f t="shared" si="48"/>
        <v>0.115</v>
      </c>
      <c r="V135" s="303">
        <f t="shared" si="48"/>
        <v>0.115</v>
      </c>
      <c r="W135" s="303">
        <f t="shared" si="48"/>
        <v>0.115</v>
      </c>
      <c r="X135" s="303">
        <f t="shared" si="48"/>
        <v>0.115</v>
      </c>
      <c r="Y135" s="303">
        <f t="shared" si="48"/>
        <v>0.115</v>
      </c>
      <c r="Z135" s="290">
        <f ca="1">Z127*Y135*100</f>
        <v>0</v>
      </c>
      <c r="AA135" s="260" t="s">
        <v>243</v>
      </c>
    </row>
    <row r="136" spans="1:40" ht="15" customHeight="1" x14ac:dyDescent="0.25">
      <c r="A136" s="350"/>
      <c r="B136" s="350" t="s">
        <v>66</v>
      </c>
      <c r="C136" s="357">
        <f>IF(C134=15, 15, 20)</f>
        <v>20</v>
      </c>
      <c r="D136" s="348" t="s">
        <v>6</v>
      </c>
      <c r="E136" s="343" t="s">
        <v>106</v>
      </c>
      <c r="F136" s="348"/>
      <c r="I136" s="308" t="s">
        <v>244</v>
      </c>
      <c r="J136" s="260" t="s">
        <v>245</v>
      </c>
      <c r="N136" s="303">
        <f t="shared" ref="N136:Y136" si="49">N169</f>
        <v>0.49249547280141825</v>
      </c>
      <c r="O136" s="303">
        <f t="shared" si="49"/>
        <v>0.49249547280141825</v>
      </c>
      <c r="P136" s="303">
        <f t="shared" si="49"/>
        <v>0.49249547280141825</v>
      </c>
      <c r="Q136" s="303">
        <f t="shared" si="49"/>
        <v>0.42343858999999995</v>
      </c>
      <c r="R136" s="303">
        <f t="shared" si="49"/>
        <v>0.42343858999999995</v>
      </c>
      <c r="S136" s="303">
        <f t="shared" si="49"/>
        <v>0.42343858999999995</v>
      </c>
      <c r="T136" s="303">
        <f t="shared" si="49"/>
        <v>0.42343858999999995</v>
      </c>
      <c r="U136" s="303">
        <f t="shared" si="49"/>
        <v>0.42343858999999995</v>
      </c>
      <c r="V136" s="303">
        <f t="shared" si="49"/>
        <v>0.42343858999999995</v>
      </c>
      <c r="W136" s="303">
        <f t="shared" si="49"/>
        <v>0.42343858999999995</v>
      </c>
      <c r="X136" s="303">
        <f t="shared" si="49"/>
        <v>0.49249547280141825</v>
      </c>
      <c r="Y136" s="303">
        <f t="shared" si="49"/>
        <v>0.49249547280141825</v>
      </c>
      <c r="Z136" s="324"/>
      <c r="AA136" s="263"/>
    </row>
    <row r="137" spans="1:40" x14ac:dyDescent="0.25">
      <c r="A137" s="350"/>
      <c r="B137" s="350" t="s">
        <v>108</v>
      </c>
      <c r="C137" s="348">
        <f>VLOOKUP(C$107, '-calcs-'!$B$721:$AA$732, 24, FALSE)</f>
        <v>0</v>
      </c>
      <c r="D137" s="348" t="s">
        <v>9</v>
      </c>
      <c r="E137" s="343" t="e">
        <f>VLOOKUP(C137, '-calcs-'!$A$645:$U$666, 2, FALSE)</f>
        <v>#N/A</v>
      </c>
      <c r="F137" s="348"/>
      <c r="I137" s="307">
        <f>X165/X166</f>
        <v>0.73262032085561501</v>
      </c>
      <c r="J137" s="260" t="s">
        <v>246</v>
      </c>
      <c r="N137" s="303">
        <f t="shared" ref="N137:Y137" si="50">N170</f>
        <v>0.26685204952891234</v>
      </c>
      <c r="O137" s="303">
        <f t="shared" si="50"/>
        <v>0.26685204952891234</v>
      </c>
      <c r="P137" s="303">
        <f t="shared" si="50"/>
        <v>0.26685204952891234</v>
      </c>
      <c r="Q137" s="303">
        <f t="shared" si="50"/>
        <v>0.23137534306569346</v>
      </c>
      <c r="R137" s="303">
        <f t="shared" si="50"/>
        <v>0.23137534306569346</v>
      </c>
      <c r="S137" s="303">
        <f t="shared" si="50"/>
        <v>0.26210209507169846</v>
      </c>
      <c r="T137" s="303">
        <f t="shared" si="50"/>
        <v>0.26210209507169846</v>
      </c>
      <c r="U137" s="303">
        <f t="shared" si="50"/>
        <v>0.26210209507169846</v>
      </c>
      <c r="V137" s="303">
        <f t="shared" si="50"/>
        <v>0.23137534306569346</v>
      </c>
      <c r="W137" s="303">
        <f t="shared" si="50"/>
        <v>0.23137534306569346</v>
      </c>
      <c r="X137" s="303">
        <f t="shared" si="50"/>
        <v>0.26685204952891234</v>
      </c>
      <c r="Y137" s="303">
        <f t="shared" si="50"/>
        <v>0.26685204952891234</v>
      </c>
      <c r="Z137" s="324"/>
      <c r="AA137" s="263" t="s">
        <v>247</v>
      </c>
    </row>
    <row r="138" spans="1:40" x14ac:dyDescent="0.25">
      <c r="A138" s="350"/>
      <c r="B138" s="350" t="s">
        <v>109</v>
      </c>
      <c r="C138" s="325">
        <v>7500</v>
      </c>
      <c r="D138" s="348" t="s">
        <v>31</v>
      </c>
      <c r="E138" s="343" t="s">
        <v>111</v>
      </c>
      <c r="F138" s="348"/>
      <c r="I138" s="308" t="s">
        <v>244</v>
      </c>
      <c r="J138" s="260" t="s">
        <v>206</v>
      </c>
      <c r="N138" s="303">
        <f t="shared" ref="N138:Y138" si="51">N172</f>
        <v>14.236500885106382</v>
      </c>
      <c r="O138" s="303">
        <f t="shared" si="51"/>
        <v>14.236500885106382</v>
      </c>
      <c r="P138" s="303">
        <f t="shared" si="51"/>
        <v>14.236500885106382</v>
      </c>
      <c r="Q138" s="303">
        <f t="shared" si="51"/>
        <v>12.573870300000001</v>
      </c>
      <c r="R138" s="303">
        <f t="shared" si="51"/>
        <v>12.573870300000001</v>
      </c>
      <c r="S138" s="303">
        <f t="shared" si="51"/>
        <v>13.405185592553192</v>
      </c>
      <c r="T138" s="303">
        <f t="shared" si="51"/>
        <v>13.405185592553192</v>
      </c>
      <c r="U138" s="303">
        <f t="shared" si="51"/>
        <v>13.405185592553192</v>
      </c>
      <c r="V138" s="303">
        <f t="shared" si="51"/>
        <v>12.573870300000001</v>
      </c>
      <c r="W138" s="303">
        <f t="shared" si="51"/>
        <v>12.573870300000001</v>
      </c>
      <c r="X138" s="303">
        <f t="shared" si="51"/>
        <v>14.236500885106382</v>
      </c>
      <c r="Y138" s="303">
        <f t="shared" si="51"/>
        <v>14.236500885106382</v>
      </c>
      <c r="AA138" s="263" t="s">
        <v>140</v>
      </c>
    </row>
    <row r="139" spans="1:40" x14ac:dyDescent="0.25">
      <c r="A139" s="350"/>
      <c r="B139" s="350" t="s">
        <v>217</v>
      </c>
      <c r="C139" s="325" t="str">
        <f>'-calcs-'!C37</f>
        <v>Sydney</v>
      </c>
      <c r="D139" s="325" t="str">
        <f>IF('-calcs-'!D37=0, "", '-calcs-'!D37)</f>
        <v/>
      </c>
      <c r="E139" s="362" t="str">
        <f>IF('-calcs-'!E37=0, "", '-calcs-'!E37)</f>
        <v/>
      </c>
      <c r="F139" s="348" t="s">
        <v>455</v>
      </c>
      <c r="J139" s="260" t="s">
        <v>207</v>
      </c>
      <c r="N139" s="303">
        <f t="shared" ref="N139:Y139" si="52">IF($AA138="No", IF($AA140="Yes", (N149*N170+N152*N169)+N134, N132*$AA160*N169+N133*N170+N134), 0)</f>
        <v>0</v>
      </c>
      <c r="O139" s="303">
        <f t="shared" si="52"/>
        <v>0</v>
      </c>
      <c r="P139" s="303">
        <f t="shared" si="52"/>
        <v>0</v>
      </c>
      <c r="Q139" s="303">
        <f t="shared" si="52"/>
        <v>0</v>
      </c>
      <c r="R139" s="303">
        <f t="shared" si="52"/>
        <v>0</v>
      </c>
      <c r="S139" s="303">
        <f t="shared" si="52"/>
        <v>0</v>
      </c>
      <c r="T139" s="303">
        <f t="shared" si="52"/>
        <v>0</v>
      </c>
      <c r="U139" s="303">
        <f t="shared" si="52"/>
        <v>0</v>
      </c>
      <c r="V139" s="303">
        <f t="shared" si="52"/>
        <v>0</v>
      </c>
      <c r="W139" s="303">
        <f t="shared" si="52"/>
        <v>0</v>
      </c>
      <c r="X139" s="303">
        <f t="shared" si="52"/>
        <v>0</v>
      </c>
      <c r="Y139" s="303">
        <f t="shared" si="52"/>
        <v>0</v>
      </c>
      <c r="Z139" s="303">
        <f>AVERAGE(N139:Y139)</f>
        <v>0</v>
      </c>
      <c r="AA139" s="263" t="s">
        <v>248</v>
      </c>
    </row>
    <row r="140" spans="1:40" x14ac:dyDescent="0.25">
      <c r="A140" s="350"/>
      <c r="B140" s="350" t="s">
        <v>410</v>
      </c>
      <c r="C140" s="351">
        <f>MIN(N124:Z124)</f>
        <v>2.4</v>
      </c>
      <c r="D140" s="343"/>
      <c r="E140" s="325" t="str">
        <f>IF('-calcs-'!E38=0, "", '-calcs-'!E38)</f>
        <v/>
      </c>
      <c r="F140" s="348" t="s">
        <v>479</v>
      </c>
      <c r="J140" s="260" t="s">
        <v>249</v>
      </c>
      <c r="L140" s="303">
        <f ca="1">Z140*N148</f>
        <v>0</v>
      </c>
      <c r="M140" s="260" t="s">
        <v>250</v>
      </c>
      <c r="N140" s="303">
        <f t="shared" ref="N140:Y140" ca="1" si="53">IF($AA140="Yes", N153*N135, (N127-N132*(1-$AA160))*N135)</f>
        <v>0</v>
      </c>
      <c r="O140" s="303">
        <f t="shared" ca="1" si="53"/>
        <v>0</v>
      </c>
      <c r="P140" s="303">
        <f t="shared" ca="1" si="53"/>
        <v>0</v>
      </c>
      <c r="Q140" s="303">
        <f t="shared" ca="1" si="53"/>
        <v>0</v>
      </c>
      <c r="R140" s="303">
        <f t="shared" ca="1" si="53"/>
        <v>0</v>
      </c>
      <c r="S140" s="303">
        <f t="shared" ca="1" si="53"/>
        <v>0</v>
      </c>
      <c r="T140" s="303">
        <f t="shared" ca="1" si="53"/>
        <v>0</v>
      </c>
      <c r="U140" s="303">
        <f t="shared" ca="1" si="53"/>
        <v>0</v>
      </c>
      <c r="V140" s="303">
        <f t="shared" ca="1" si="53"/>
        <v>0</v>
      </c>
      <c r="W140" s="303">
        <f t="shared" ca="1" si="53"/>
        <v>0</v>
      </c>
      <c r="X140" s="303">
        <f t="shared" ca="1" si="53"/>
        <v>0</v>
      </c>
      <c r="Y140" s="303">
        <f t="shared" ca="1" si="53"/>
        <v>0</v>
      </c>
      <c r="Z140" s="303">
        <f ca="1">AVERAGE(N140:Y140)</f>
        <v>0</v>
      </c>
      <c r="AA140" s="263" t="s">
        <v>140</v>
      </c>
    </row>
    <row r="141" spans="1:40" x14ac:dyDescent="0.25">
      <c r="A141" s="350"/>
      <c r="B141" s="350" t="s">
        <v>446</v>
      </c>
      <c r="C141" s="362">
        <v>0.95</v>
      </c>
      <c r="D141" s="343"/>
      <c r="E141" s="343"/>
      <c r="F141" s="348"/>
      <c r="J141" s="260" t="s">
        <v>209</v>
      </c>
      <c r="N141" s="303">
        <f t="shared" ref="N141:Y141" ca="1" si="54">N139-N140</f>
        <v>0</v>
      </c>
      <c r="O141" s="303">
        <f t="shared" ca="1" si="54"/>
        <v>0</v>
      </c>
      <c r="P141" s="303">
        <f t="shared" ca="1" si="54"/>
        <v>0</v>
      </c>
      <c r="Q141" s="303">
        <f t="shared" ca="1" si="54"/>
        <v>0</v>
      </c>
      <c r="R141" s="303">
        <f t="shared" ca="1" si="54"/>
        <v>0</v>
      </c>
      <c r="S141" s="303">
        <f t="shared" ca="1" si="54"/>
        <v>0</v>
      </c>
      <c r="T141" s="303">
        <f t="shared" ca="1" si="54"/>
        <v>0</v>
      </c>
      <c r="U141" s="303">
        <f t="shared" ca="1" si="54"/>
        <v>0</v>
      </c>
      <c r="V141" s="303">
        <f t="shared" ca="1" si="54"/>
        <v>0</v>
      </c>
      <c r="W141" s="303">
        <f t="shared" ca="1" si="54"/>
        <v>0</v>
      </c>
      <c r="X141" s="303">
        <f t="shared" ca="1" si="54"/>
        <v>0</v>
      </c>
      <c r="Y141" s="303">
        <f t="shared" ca="1" si="54"/>
        <v>0</v>
      </c>
      <c r="Z141" s="303">
        <f ca="1">AVERAGE(N141:Y141)</f>
        <v>0</v>
      </c>
    </row>
    <row r="142" spans="1:40" x14ac:dyDescent="0.25">
      <c r="A142" s="350"/>
      <c r="B142" s="350" t="s">
        <v>218</v>
      </c>
      <c r="C142" s="325">
        <f>Calculator!F8</f>
        <v>20</v>
      </c>
      <c r="D142" s="343"/>
      <c r="E142" s="343"/>
      <c r="F142" s="348"/>
      <c r="J142" s="260" t="s">
        <v>210</v>
      </c>
      <c r="L142" s="303">
        <f ca="1">Z142*-1</f>
        <v>0</v>
      </c>
      <c r="N142" s="303">
        <f ca="1">N141*31</f>
        <v>0</v>
      </c>
      <c r="O142" s="303">
        <f ca="1">O141*28</f>
        <v>0</v>
      </c>
      <c r="P142" s="303">
        <f ca="1">P141*31</f>
        <v>0</v>
      </c>
      <c r="Q142" s="303">
        <f ca="1">Q141*30</f>
        <v>0</v>
      </c>
      <c r="R142" s="303">
        <f ca="1">R141*31</f>
        <v>0</v>
      </c>
      <c r="S142" s="303">
        <f ca="1">S141*30</f>
        <v>0</v>
      </c>
      <c r="T142" s="303">
        <f ca="1">T141*31</f>
        <v>0</v>
      </c>
      <c r="U142" s="303">
        <f ca="1">U141*31</f>
        <v>0</v>
      </c>
      <c r="V142" s="303">
        <f ca="1">V141*30</f>
        <v>0</v>
      </c>
      <c r="W142" s="303">
        <f ca="1">W141*31</f>
        <v>0</v>
      </c>
      <c r="X142" s="303">
        <f ca="1">X141*30</f>
        <v>0</v>
      </c>
      <c r="Y142" s="303">
        <f ca="1">Y141*31</f>
        <v>0</v>
      </c>
      <c r="Z142" s="303">
        <f ca="1">AVERAGE(N142:Y142)</f>
        <v>0</v>
      </c>
      <c r="AA142" s="260" t="s">
        <v>211</v>
      </c>
    </row>
    <row r="143" spans="1:40" x14ac:dyDescent="0.25">
      <c r="A143" s="350"/>
      <c r="B143" s="350" t="s">
        <v>219</v>
      </c>
      <c r="C143" s="325">
        <f>Calculator!E8</f>
        <v>20</v>
      </c>
      <c r="D143" s="343"/>
      <c r="E143" s="343"/>
      <c r="F143" s="348"/>
      <c r="J143" s="260" t="s">
        <v>212</v>
      </c>
      <c r="L143" s="303">
        <f ca="1">Z143/12</f>
        <v>410.04666749893619</v>
      </c>
      <c r="M143" s="260" t="s">
        <v>250</v>
      </c>
      <c r="N143" s="303">
        <f t="shared" ref="N143:Y143" ca="1" si="55">IF(SIGN(N142)=1, N130-N142, N130+ABS(N142))</f>
        <v>441.33152743829783</v>
      </c>
      <c r="O143" s="303">
        <f t="shared" ca="1" si="55"/>
        <v>402.1811500042553</v>
      </c>
      <c r="P143" s="303">
        <f t="shared" ca="1" si="55"/>
        <v>441.33152743829783</v>
      </c>
      <c r="Q143" s="303">
        <f t="shared" ca="1" si="55"/>
        <v>377.21610900000002</v>
      </c>
      <c r="R143" s="303">
        <f t="shared" ca="1" si="55"/>
        <v>389.78997930000003</v>
      </c>
      <c r="S143" s="303">
        <f t="shared" ca="1" si="55"/>
        <v>402.15556777659577</v>
      </c>
      <c r="T143" s="303">
        <f t="shared" ca="1" si="55"/>
        <v>415.56075336914893</v>
      </c>
      <c r="U143" s="303">
        <f t="shared" ca="1" si="55"/>
        <v>415.56075336914893</v>
      </c>
      <c r="V143" s="303">
        <f t="shared" ca="1" si="55"/>
        <v>389.78997930000003</v>
      </c>
      <c r="W143" s="303">
        <f t="shared" ca="1" si="55"/>
        <v>377.21610900000002</v>
      </c>
      <c r="X143" s="303">
        <f t="shared" ca="1" si="55"/>
        <v>427.09502655319147</v>
      </c>
      <c r="Y143" s="303">
        <f t="shared" ca="1" si="55"/>
        <v>441.33152743829783</v>
      </c>
      <c r="Z143" s="303">
        <f ca="1">SUM(N143:Y143)</f>
        <v>4920.5600099872345</v>
      </c>
      <c r="AA143" s="260" t="s">
        <v>213</v>
      </c>
    </row>
    <row r="144" spans="1:40" x14ac:dyDescent="0.25">
      <c r="A144" s="343"/>
      <c r="B144" s="343"/>
      <c r="C144" s="343"/>
      <c r="D144" s="343"/>
      <c r="E144" s="343"/>
      <c r="F144" s="348"/>
      <c r="J144" s="260" t="s">
        <v>215</v>
      </c>
      <c r="L144" s="326">
        <f ca="1">ABS(N144)/Z143</f>
        <v>0</v>
      </c>
      <c r="M144" s="260" t="s">
        <v>68</v>
      </c>
      <c r="N144" s="327">
        <f>L147*-1</f>
        <v>0</v>
      </c>
      <c r="O144" s="303">
        <f t="shared" ref="O144:Z144" ca="1" si="56">$Z143</f>
        <v>4920.5600099872345</v>
      </c>
      <c r="P144" s="303">
        <f t="shared" ca="1" si="56"/>
        <v>4920.5600099872345</v>
      </c>
      <c r="Q144" s="303">
        <f t="shared" ca="1" si="56"/>
        <v>4920.5600099872345</v>
      </c>
      <c r="R144" s="303">
        <f t="shared" ca="1" si="56"/>
        <v>4920.5600099872345</v>
      </c>
      <c r="S144" s="303">
        <f t="shared" ca="1" si="56"/>
        <v>4920.5600099872345</v>
      </c>
      <c r="T144" s="303">
        <f t="shared" ca="1" si="56"/>
        <v>4920.5600099872345</v>
      </c>
      <c r="U144" s="303">
        <f t="shared" ca="1" si="56"/>
        <v>4920.5600099872345</v>
      </c>
      <c r="V144" s="303">
        <f t="shared" ca="1" si="56"/>
        <v>4920.5600099872345</v>
      </c>
      <c r="W144" s="303">
        <f t="shared" ca="1" si="56"/>
        <v>4920.5600099872345</v>
      </c>
      <c r="X144" s="303">
        <f t="shared" ca="1" si="56"/>
        <v>4920.5600099872345</v>
      </c>
      <c r="Y144" s="303">
        <f t="shared" ca="1" si="56"/>
        <v>4920.5600099872345</v>
      </c>
      <c r="Z144" s="303">
        <f t="shared" ca="1" si="56"/>
        <v>4920.5600099872345</v>
      </c>
    </row>
    <row r="145" spans="1:27" x14ac:dyDescent="0.25">
      <c r="A145" s="343"/>
      <c r="B145" s="361" t="s">
        <v>411</v>
      </c>
      <c r="C145" s="343">
        <f>Calculator!E16</f>
        <v>29.952000000000002</v>
      </c>
      <c r="D145" s="343" t="s">
        <v>114</v>
      </c>
      <c r="E145" s="343"/>
      <c r="F145" s="348"/>
      <c r="J145" s="260" t="s">
        <v>214</v>
      </c>
      <c r="L145" s="328">
        <f ca="1">SUM(N145:Z145)</f>
        <v>59046.720119846803</v>
      </c>
      <c r="M145" s="260" t="s">
        <v>251</v>
      </c>
      <c r="N145" s="327">
        <f t="shared" ref="N145:Z145" si="57">N144/(1+$M147)^N146</f>
        <v>0</v>
      </c>
      <c r="O145" s="327">
        <f t="shared" ca="1" si="57"/>
        <v>4920.5600099872345</v>
      </c>
      <c r="P145" s="327">
        <f t="shared" ca="1" si="57"/>
        <v>4920.5600099872345</v>
      </c>
      <c r="Q145" s="327">
        <f t="shared" ca="1" si="57"/>
        <v>4920.5600099872345</v>
      </c>
      <c r="R145" s="327">
        <f t="shared" ca="1" si="57"/>
        <v>4920.5600099872345</v>
      </c>
      <c r="S145" s="327">
        <f t="shared" ca="1" si="57"/>
        <v>4920.5600099872345</v>
      </c>
      <c r="T145" s="327">
        <f t="shared" ca="1" si="57"/>
        <v>4920.5600099872345</v>
      </c>
      <c r="U145" s="327">
        <f t="shared" ca="1" si="57"/>
        <v>4920.5600099872345</v>
      </c>
      <c r="V145" s="327">
        <f t="shared" ca="1" si="57"/>
        <v>4920.5600099872345</v>
      </c>
      <c r="W145" s="327">
        <f t="shared" ca="1" si="57"/>
        <v>4920.5600099872345</v>
      </c>
      <c r="X145" s="327">
        <f t="shared" ca="1" si="57"/>
        <v>4920.5600099872345</v>
      </c>
      <c r="Y145" s="327">
        <f t="shared" ca="1" si="57"/>
        <v>4920.5600099872345</v>
      </c>
      <c r="Z145" s="327">
        <f t="shared" ca="1" si="57"/>
        <v>4920.5600099872345</v>
      </c>
    </row>
    <row r="146" spans="1:27" x14ac:dyDescent="0.25">
      <c r="A146" s="363" t="s">
        <v>112</v>
      </c>
      <c r="B146" s="350" t="s">
        <v>113</v>
      </c>
      <c r="C146" s="357">
        <f>C151*C152</f>
        <v>24</v>
      </c>
      <c r="D146" s="343"/>
      <c r="E146" s="343"/>
      <c r="F146" s="348" t="s">
        <v>175</v>
      </c>
      <c r="J146" s="260" t="s">
        <v>204</v>
      </c>
      <c r="L146" s="260">
        <v>0.115</v>
      </c>
      <c r="M146" s="298" t="s">
        <v>252</v>
      </c>
      <c r="N146" s="263">
        <v>0</v>
      </c>
      <c r="O146" s="263">
        <v>1</v>
      </c>
      <c r="P146" s="263">
        <v>2</v>
      </c>
      <c r="Q146" s="263">
        <v>3</v>
      </c>
      <c r="R146" s="263">
        <v>4</v>
      </c>
      <c r="S146" s="263">
        <v>5</v>
      </c>
      <c r="T146" s="263">
        <v>6</v>
      </c>
      <c r="U146" s="263">
        <v>7</v>
      </c>
      <c r="V146" s="263">
        <v>8</v>
      </c>
      <c r="W146" s="263">
        <v>9</v>
      </c>
      <c r="X146" s="263">
        <v>10</v>
      </c>
      <c r="Y146" s="263">
        <v>11</v>
      </c>
      <c r="Z146" s="263">
        <v>12</v>
      </c>
    </row>
    <row r="147" spans="1:27" x14ac:dyDescent="0.25">
      <c r="A147" s="363"/>
      <c r="B147" s="350" t="s">
        <v>164</v>
      </c>
      <c r="C147" s="325" t="str">
        <f>VLOOKUP(C$145, '-calcs-'!$B$736:$M$752, 9, FALSE)</f>
        <v>Gel</v>
      </c>
      <c r="D147" s="343"/>
      <c r="E147" s="343"/>
      <c r="F147" s="348"/>
      <c r="J147" s="260" t="s">
        <v>216</v>
      </c>
      <c r="L147" s="309">
        <f>E144</f>
        <v>0</v>
      </c>
      <c r="M147" s="295">
        <v>0</v>
      </c>
      <c r="N147" s="411" t="s">
        <v>253</v>
      </c>
      <c r="O147" s="411"/>
      <c r="P147" s="411"/>
      <c r="Q147" s="411"/>
      <c r="R147" s="411"/>
      <c r="S147" s="411"/>
      <c r="T147" s="411"/>
      <c r="U147" s="411"/>
      <c r="V147" s="411"/>
      <c r="W147" s="411"/>
      <c r="X147" s="411"/>
    </row>
    <row r="148" spans="1:27" x14ac:dyDescent="0.25">
      <c r="A148" s="363"/>
      <c r="B148" s="350" t="s">
        <v>0</v>
      </c>
      <c r="C148" s="364" t="str">
        <f>VLOOKUP(VLOOKUP(C$145, '-calcs-'!$B$736:$M$752, 2, FALSE), '-calcs-'!$A$684:$Q$699, 2, FALSE)</f>
        <v>GNB 676Ah Gel</v>
      </c>
      <c r="D148" s="343"/>
      <c r="E148" s="343"/>
      <c r="F148" s="348"/>
      <c r="N148" s="290">
        <f>365/12</f>
        <v>30.416666666666668</v>
      </c>
      <c r="O148" s="260" t="s">
        <v>254</v>
      </c>
    </row>
    <row r="149" spans="1:27" x14ac:dyDescent="0.25">
      <c r="A149" s="363"/>
      <c r="B149" s="350" t="s">
        <v>162</v>
      </c>
      <c r="C149" s="365">
        <f>VLOOKUP(VLOOKUP(C$145, '-calcs-'!$B$736:$M$752, 2, FALSE), '-calcs-'!$A$684:$Q$699, 4, FALSE)</f>
        <v>624</v>
      </c>
      <c r="D149" s="343" t="s">
        <v>11</v>
      </c>
      <c r="E149" s="343"/>
      <c r="F149" s="348"/>
      <c r="I149" s="260" t="s">
        <v>255</v>
      </c>
      <c r="J149" s="260" t="s">
        <v>256</v>
      </c>
      <c r="N149" s="290">
        <f t="shared" ref="N149:Y149" si="58">IF($L119*(1+$AA161)&gt;N133, N133*($AA161/(1+$AA161)), N133-$L119)</f>
        <v>0.79805825242718431</v>
      </c>
      <c r="O149" s="290">
        <f t="shared" si="58"/>
        <v>0.79805825242718431</v>
      </c>
      <c r="P149" s="290">
        <f t="shared" si="58"/>
        <v>0.79805825242718431</v>
      </c>
      <c r="Q149" s="290">
        <f t="shared" si="58"/>
        <v>0.79805825242718431</v>
      </c>
      <c r="R149" s="290">
        <f t="shared" si="58"/>
        <v>0.79805825242718431</v>
      </c>
      <c r="S149" s="290">
        <f t="shared" si="58"/>
        <v>0.79805825242718431</v>
      </c>
      <c r="T149" s="290">
        <f t="shared" si="58"/>
        <v>0.79805825242718431</v>
      </c>
      <c r="U149" s="290">
        <f t="shared" si="58"/>
        <v>0.79805825242718431</v>
      </c>
      <c r="V149" s="290">
        <f t="shared" si="58"/>
        <v>0.79805825242718431</v>
      </c>
      <c r="W149" s="290">
        <f t="shared" si="58"/>
        <v>0.79805825242718431</v>
      </c>
      <c r="X149" s="290">
        <f t="shared" si="58"/>
        <v>0.79805825242718431</v>
      </c>
      <c r="Y149" s="290">
        <f t="shared" si="58"/>
        <v>0.79805825242718431</v>
      </c>
    </row>
    <row r="150" spans="1:27" x14ac:dyDescent="0.25">
      <c r="A150" s="363"/>
      <c r="B150" s="350" t="s">
        <v>166</v>
      </c>
      <c r="C150" s="365">
        <f>VLOOKUP(VLOOKUP(C$145, '-calcs-'!$B$736:$M$752, 2, FALSE), '-calcs-'!$A$684:$Q$699, 3, FALSE)</f>
        <v>2</v>
      </c>
      <c r="D150" s="343" t="s">
        <v>117</v>
      </c>
      <c r="E150" s="343"/>
      <c r="F150" s="348"/>
      <c r="J150" s="260" t="s">
        <v>257</v>
      </c>
      <c r="N150" s="290">
        <f t="shared" ref="N150:Y150" si="59">IF($L119*(1+$AA161)&lt;N133, $L119, N133-N149)</f>
        <v>26.601941747572813</v>
      </c>
      <c r="O150" s="290">
        <f t="shared" si="59"/>
        <v>26.601941747572813</v>
      </c>
      <c r="P150" s="290">
        <f t="shared" si="59"/>
        <v>26.601941747572813</v>
      </c>
      <c r="Q150" s="290">
        <f t="shared" si="59"/>
        <v>26.601941747572813</v>
      </c>
      <c r="R150" s="290">
        <f t="shared" si="59"/>
        <v>26.601941747572813</v>
      </c>
      <c r="S150" s="290">
        <f t="shared" si="59"/>
        <v>26.601941747572813</v>
      </c>
      <c r="T150" s="290">
        <f t="shared" si="59"/>
        <v>26.601941747572813</v>
      </c>
      <c r="U150" s="290">
        <f t="shared" si="59"/>
        <v>26.601941747572813</v>
      </c>
      <c r="V150" s="290">
        <f t="shared" si="59"/>
        <v>26.601941747572813</v>
      </c>
      <c r="W150" s="290">
        <f t="shared" si="59"/>
        <v>26.601941747572813</v>
      </c>
      <c r="X150" s="290">
        <f t="shared" si="59"/>
        <v>26.601941747572813</v>
      </c>
      <c r="Y150" s="290">
        <f t="shared" si="59"/>
        <v>26.601941747572813</v>
      </c>
    </row>
    <row r="151" spans="1:27" x14ac:dyDescent="0.25">
      <c r="A151" s="363"/>
      <c r="B151" s="350" t="s">
        <v>161</v>
      </c>
      <c r="C151" s="365">
        <f>VLOOKUP(C$145, '-calcs-'!$B$736:$M$752, 5, FALSE)</f>
        <v>1</v>
      </c>
      <c r="D151" s="343"/>
      <c r="E151" s="343"/>
      <c r="F151" s="348"/>
      <c r="J151" s="260" t="s">
        <v>258</v>
      </c>
      <c r="N151" s="290">
        <f t="shared" ref="N151:Y151" si="60">N150/$AA159</f>
        <v>28.299938029332782</v>
      </c>
      <c r="O151" s="290">
        <f t="shared" si="60"/>
        <v>28.299938029332782</v>
      </c>
      <c r="P151" s="290">
        <f t="shared" si="60"/>
        <v>28.299938029332782</v>
      </c>
      <c r="Q151" s="290">
        <f t="shared" si="60"/>
        <v>28.299938029332782</v>
      </c>
      <c r="R151" s="290">
        <f t="shared" si="60"/>
        <v>28.299938029332782</v>
      </c>
      <c r="S151" s="290">
        <f t="shared" si="60"/>
        <v>28.299938029332782</v>
      </c>
      <c r="T151" s="290">
        <f t="shared" si="60"/>
        <v>28.299938029332782</v>
      </c>
      <c r="U151" s="290">
        <f t="shared" si="60"/>
        <v>28.299938029332782</v>
      </c>
      <c r="V151" s="290">
        <f t="shared" si="60"/>
        <v>28.299938029332782</v>
      </c>
      <c r="W151" s="290">
        <f t="shared" si="60"/>
        <v>28.299938029332782</v>
      </c>
      <c r="X151" s="290">
        <f t="shared" si="60"/>
        <v>28.299938029332782</v>
      </c>
      <c r="Y151" s="290">
        <f t="shared" si="60"/>
        <v>28.299938029332782</v>
      </c>
    </row>
    <row r="152" spans="1:27" x14ac:dyDescent="0.25">
      <c r="A152" s="363"/>
      <c r="B152" s="350" t="s">
        <v>163</v>
      </c>
      <c r="C152" s="365">
        <f>VLOOKUP(C$145, '-calcs-'!$B$736:$M$752, 4, FALSE)</f>
        <v>24</v>
      </c>
      <c r="D152" s="343"/>
      <c r="E152" s="343"/>
      <c r="F152" s="348"/>
      <c r="I152" s="260" t="s">
        <v>255</v>
      </c>
      <c r="J152" s="260" t="s">
        <v>259</v>
      </c>
      <c r="N152" s="290">
        <f t="shared" ref="N152:Y152" ca="1" si="61">IF((N151+N132)&gt;N127*(1+$AA160), N151+N132-N127, N127*$AA160)</f>
        <v>38.299938029332779</v>
      </c>
      <c r="O152" s="290">
        <f t="shared" ca="1" si="61"/>
        <v>38.299938029332779</v>
      </c>
      <c r="P152" s="290">
        <f t="shared" ca="1" si="61"/>
        <v>38.299938029332779</v>
      </c>
      <c r="Q152" s="290">
        <f t="shared" ca="1" si="61"/>
        <v>38.299938029332779</v>
      </c>
      <c r="R152" s="290">
        <f t="shared" ca="1" si="61"/>
        <v>38.299938029332779</v>
      </c>
      <c r="S152" s="290">
        <f t="shared" ca="1" si="61"/>
        <v>38.299938029332779</v>
      </c>
      <c r="T152" s="290">
        <f t="shared" ca="1" si="61"/>
        <v>38.299938029332779</v>
      </c>
      <c r="U152" s="290">
        <f t="shared" ca="1" si="61"/>
        <v>38.299938029332779</v>
      </c>
      <c r="V152" s="290">
        <f t="shared" ca="1" si="61"/>
        <v>38.299938029332779</v>
      </c>
      <c r="W152" s="290">
        <f t="shared" ca="1" si="61"/>
        <v>38.299938029332779</v>
      </c>
      <c r="X152" s="290">
        <f t="shared" ca="1" si="61"/>
        <v>38.299938029332779</v>
      </c>
      <c r="Y152" s="290">
        <f t="shared" ca="1" si="61"/>
        <v>38.299938029332779</v>
      </c>
    </row>
    <row r="153" spans="1:27" x14ac:dyDescent="0.25">
      <c r="A153" s="363"/>
      <c r="B153" s="350" t="s">
        <v>167</v>
      </c>
      <c r="C153" s="351">
        <f>C152*C150</f>
        <v>48</v>
      </c>
      <c r="D153" s="343" t="s">
        <v>117</v>
      </c>
      <c r="E153" s="343"/>
      <c r="F153" s="348"/>
      <c r="J153" s="260" t="s">
        <v>260</v>
      </c>
      <c r="N153" s="290">
        <f t="shared" ref="N153:Y153" ca="1" si="62">IF((N151+N132)&gt;N127*(1+$AA160), N127*$AA160, N127*(1+$AA160)-N151-N132)</f>
        <v>0</v>
      </c>
      <c r="O153" s="290">
        <f t="shared" ca="1" si="62"/>
        <v>0</v>
      </c>
      <c r="P153" s="290">
        <f t="shared" ca="1" si="62"/>
        <v>0</v>
      </c>
      <c r="Q153" s="290">
        <f t="shared" ca="1" si="62"/>
        <v>0</v>
      </c>
      <c r="R153" s="290">
        <f t="shared" ca="1" si="62"/>
        <v>0</v>
      </c>
      <c r="S153" s="290">
        <f t="shared" ca="1" si="62"/>
        <v>0</v>
      </c>
      <c r="T153" s="290">
        <f t="shared" ca="1" si="62"/>
        <v>0</v>
      </c>
      <c r="U153" s="290">
        <f t="shared" ca="1" si="62"/>
        <v>0</v>
      </c>
      <c r="V153" s="290">
        <f t="shared" ca="1" si="62"/>
        <v>0</v>
      </c>
      <c r="W153" s="290">
        <f t="shared" ca="1" si="62"/>
        <v>0</v>
      </c>
      <c r="X153" s="290">
        <f t="shared" ca="1" si="62"/>
        <v>0</v>
      </c>
      <c r="Y153" s="290">
        <f t="shared" ca="1" si="62"/>
        <v>0</v>
      </c>
    </row>
    <row r="154" spans="1:27" x14ac:dyDescent="0.25">
      <c r="A154" s="363"/>
      <c r="B154" s="350" t="s">
        <v>116</v>
      </c>
      <c r="C154" s="365">
        <f>VLOOKUP(VLOOKUP(C$145, '-calcs-'!$B$736:$M$752, 2, FALSE), '-calcs-'!$A$684:$Q$699, 16, FALSE)*C152</f>
        <v>57.599999999999994</v>
      </c>
      <c r="D154" s="343" t="s">
        <v>117</v>
      </c>
      <c r="E154" s="343"/>
      <c r="F154" s="348"/>
      <c r="J154" s="260" t="s">
        <v>261</v>
      </c>
      <c r="M154" s="260" t="s">
        <v>262</v>
      </c>
      <c r="O154" s="260">
        <v>980</v>
      </c>
      <c r="P154" s="260">
        <f>O154/N148</f>
        <v>32.219178082191782</v>
      </c>
      <c r="Q154" s="260">
        <f>P154*0.2</f>
        <v>6.4438356164383563</v>
      </c>
      <c r="R154" s="260">
        <f>P154*0.8</f>
        <v>25.775342465753425</v>
      </c>
      <c r="V154" s="260" t="e">
        <f>#REF!</f>
        <v>#REF!</v>
      </c>
      <c r="W154" s="260" t="s">
        <v>205</v>
      </c>
    </row>
    <row r="155" spans="1:27" x14ac:dyDescent="0.25">
      <c r="A155" s="363"/>
      <c r="B155" s="350" t="s">
        <v>118</v>
      </c>
      <c r="C155" s="366">
        <f>VLOOKUP(VLOOKUP(C$145, '-calcs-'!$B$736:$M$752, 2, FALSE), '-calcs-'!$A$684:$Q$699, 15, FALSE)</f>
        <v>1</v>
      </c>
      <c r="D155" s="343" t="s">
        <v>165</v>
      </c>
      <c r="E155" s="343"/>
      <c r="F155" s="348"/>
      <c r="J155" s="260" t="s">
        <v>263</v>
      </c>
      <c r="M155" s="260" t="s">
        <v>203</v>
      </c>
      <c r="O155" s="260">
        <v>1.24003</v>
      </c>
      <c r="P155" s="260" t="s">
        <v>264</v>
      </c>
      <c r="Q155" s="260">
        <v>1.24003</v>
      </c>
      <c r="V155" s="260" t="e">
        <f>$O171*V149+V151</f>
        <v>#VALUE!</v>
      </c>
      <c r="W155" s="260" t="s">
        <v>206</v>
      </c>
    </row>
    <row r="156" spans="1:27" x14ac:dyDescent="0.25">
      <c r="A156" s="363"/>
      <c r="B156" s="350" t="s">
        <v>168</v>
      </c>
      <c r="C156" s="366">
        <v>0.8</v>
      </c>
      <c r="D156" s="348" t="s">
        <v>165</v>
      </c>
      <c r="E156" s="343"/>
      <c r="F156" s="348"/>
      <c r="M156" s="260" t="s">
        <v>265</v>
      </c>
      <c r="O156" s="260">
        <v>0.26619999999999999</v>
      </c>
      <c r="P156" s="260" t="s">
        <v>266</v>
      </c>
      <c r="Q156" s="260">
        <v>0.26619999999999999</v>
      </c>
      <c r="V156" s="260" t="e">
        <f>$O171*V150+$O170</f>
        <v>#VALUE!</v>
      </c>
      <c r="W156" s="260" t="s">
        <v>207</v>
      </c>
    </row>
    <row r="157" spans="1:27" x14ac:dyDescent="0.25">
      <c r="A157" s="363"/>
      <c r="B157" s="350" t="s">
        <v>170</v>
      </c>
      <c r="C157" s="351">
        <f>C151*C149</f>
        <v>624</v>
      </c>
      <c r="D157" s="343" t="s">
        <v>139</v>
      </c>
      <c r="E157" s="343"/>
      <c r="F157" s="348"/>
      <c r="J157" s="303"/>
      <c r="M157" s="260" t="s">
        <v>267</v>
      </c>
      <c r="O157" s="303">
        <f>MROUND(Q157/365, 0.001)</f>
        <v>0.93200000000000005</v>
      </c>
      <c r="P157" s="260" t="s">
        <v>264</v>
      </c>
      <c r="Q157" s="260">
        <v>340</v>
      </c>
      <c r="R157" s="260" t="s">
        <v>268</v>
      </c>
      <c r="V157" s="260">
        <f ca="1">(V144-(V149-V150))*V153</f>
        <v>0</v>
      </c>
      <c r="W157" s="260" t="s">
        <v>208</v>
      </c>
    </row>
    <row r="158" spans="1:27" x14ac:dyDescent="0.25">
      <c r="A158" s="363"/>
      <c r="B158" s="350" t="s">
        <v>153</v>
      </c>
      <c r="C158" s="351">
        <f>C149*C150/1000</f>
        <v>1.248</v>
      </c>
      <c r="D158" s="343" t="s">
        <v>114</v>
      </c>
      <c r="E158" s="343"/>
      <c r="F158" s="348"/>
      <c r="M158" s="260" t="s">
        <v>269</v>
      </c>
      <c r="O158" s="260">
        <v>96</v>
      </c>
      <c r="P158" s="260" t="s">
        <v>141</v>
      </c>
      <c r="AA158" s="263"/>
    </row>
    <row r="159" spans="1:27" x14ac:dyDescent="0.25">
      <c r="A159" s="363"/>
      <c r="B159" s="350" t="s">
        <v>171</v>
      </c>
      <c r="C159" s="367">
        <f>C158*C146</f>
        <v>29.951999999999998</v>
      </c>
      <c r="D159" s="343" t="s">
        <v>114</v>
      </c>
      <c r="E159" s="343"/>
      <c r="F159" s="348"/>
      <c r="M159" s="260" t="s">
        <v>270</v>
      </c>
      <c r="O159" s="303">
        <f>O154*O156</f>
        <v>260.87599999999998</v>
      </c>
      <c r="V159" s="260" t="s">
        <v>271</v>
      </c>
      <c r="Z159" s="263" t="s">
        <v>272</v>
      </c>
      <c r="AA159" s="263">
        <v>0.94</v>
      </c>
    </row>
    <row r="160" spans="1:27" x14ac:dyDescent="0.25">
      <c r="A160" s="363"/>
      <c r="B160" s="350" t="s">
        <v>169</v>
      </c>
      <c r="C160" s="367">
        <f>C159*C155</f>
        <v>29.951999999999998</v>
      </c>
      <c r="D160" s="343" t="s">
        <v>114</v>
      </c>
      <c r="E160" s="368" t="s">
        <v>7</v>
      </c>
      <c r="F160" s="348"/>
      <c r="M160" s="260" t="s">
        <v>273</v>
      </c>
      <c r="O160" s="303">
        <f>O155*O158</f>
        <v>119.04288</v>
      </c>
      <c r="Q160" s="293">
        <v>0</v>
      </c>
      <c r="R160" s="260" t="s">
        <v>274</v>
      </c>
      <c r="W160" s="260" t="s">
        <v>275</v>
      </c>
      <c r="X160" s="329">
        <v>0.57089999999999996</v>
      </c>
      <c r="Z160" s="263" t="s">
        <v>7</v>
      </c>
      <c r="AA160" s="263">
        <v>0.2</v>
      </c>
    </row>
    <row r="161" spans="1:27" x14ac:dyDescent="0.25">
      <c r="A161" s="363"/>
      <c r="B161" s="350" t="s">
        <v>119</v>
      </c>
      <c r="C161" s="357">
        <f>C183*1000/C153</f>
        <v>83.333333333333329</v>
      </c>
      <c r="D161" s="343" t="s">
        <v>6</v>
      </c>
      <c r="E161" s="369">
        <f>C161/C157</f>
        <v>0.13354700854700854</v>
      </c>
      <c r="F161" s="348" t="e">
        <f>IF(E161&lt;(VLOOKUP(VLOOKUP(C$145,'-calcs-'!$B$736:$M$747,2,FALSE),'-calcs-'!$A$684:$Q$694,17,FALSE)),"OK",("IncreaseBanksize"))</f>
        <v>#N/A</v>
      </c>
      <c r="Q161" s="303">
        <f>O155*(1-Q160)</f>
        <v>1.24003</v>
      </c>
      <c r="R161" s="260" t="s">
        <v>276</v>
      </c>
      <c r="W161" s="260" t="s">
        <v>277</v>
      </c>
      <c r="X161" s="329">
        <v>0.35310000000000002</v>
      </c>
      <c r="Z161" s="263" t="s">
        <v>278</v>
      </c>
      <c r="AA161" s="263">
        <v>0.03</v>
      </c>
    </row>
    <row r="162" spans="1:27" x14ac:dyDescent="0.25">
      <c r="A162" s="363"/>
      <c r="B162" s="350" t="s">
        <v>120</v>
      </c>
      <c r="C162" s="357">
        <f>C182*1000/C153</f>
        <v>187.5</v>
      </c>
      <c r="D162" s="343" t="s">
        <v>6</v>
      </c>
      <c r="E162" s="369">
        <f>C162/C157</f>
        <v>0.30048076923076922</v>
      </c>
      <c r="F162" s="348" t="e">
        <f>IF(E162&lt;(VLOOKUP(VLOOKUP(C$145,'-calcs-'!$B$736:$M$747,2,FALSE),'-calcs-'!$A$684:$R$694,18,FALSE)),"OK",("INCREASE BANK SIZE"))</f>
        <v>#N/A</v>
      </c>
      <c r="M162" s="263" t="s">
        <v>279</v>
      </c>
      <c r="O162" s="303"/>
      <c r="Q162" s="329">
        <v>1.9998</v>
      </c>
      <c r="R162" s="260" t="s">
        <v>280</v>
      </c>
      <c r="W162" s="260" t="s">
        <v>281</v>
      </c>
      <c r="X162" s="329">
        <v>0.21890000000000001</v>
      </c>
    </row>
    <row r="163" spans="1:27" x14ac:dyDescent="0.25">
      <c r="A163" s="363"/>
      <c r="B163" s="350" t="s">
        <v>120</v>
      </c>
      <c r="C163" s="357">
        <f>C162*C153</f>
        <v>9000</v>
      </c>
      <c r="D163" s="343" t="s">
        <v>31</v>
      </c>
      <c r="E163" s="343"/>
      <c r="F163" s="348" t="s">
        <v>122</v>
      </c>
      <c r="M163" s="263" t="s">
        <v>279</v>
      </c>
      <c r="O163" s="303"/>
      <c r="Q163" s="260">
        <v>0.35</v>
      </c>
      <c r="R163" s="260" t="s">
        <v>282</v>
      </c>
    </row>
    <row r="164" spans="1:27" x14ac:dyDescent="0.25">
      <c r="A164" s="361"/>
      <c r="B164" s="350" t="s">
        <v>123</v>
      </c>
      <c r="C164" s="357">
        <f>VLOOKUP(VLOOKUP(C$145, '-calcs-'!$B$736:$M$752, 2, FALSE), '-calcs-'!$A$684:$Q$699, 8, FALSE)</f>
        <v>4000</v>
      </c>
      <c r="D164" s="348" t="s">
        <v>124</v>
      </c>
      <c r="E164" s="343"/>
      <c r="F164" s="356" t="s">
        <v>125</v>
      </c>
      <c r="M164" s="263" t="s">
        <v>279</v>
      </c>
      <c r="O164" s="303"/>
      <c r="Q164" s="303">
        <v>0.28999999999999998</v>
      </c>
      <c r="R164" s="260" t="s">
        <v>283</v>
      </c>
      <c r="V164" s="330" t="s">
        <v>284</v>
      </c>
      <c r="W164" s="298" t="s">
        <v>285</v>
      </c>
      <c r="X164" s="290">
        <v>10</v>
      </c>
      <c r="Y164" s="260" t="s">
        <v>114</v>
      </c>
      <c r="Z164" s="260" t="s">
        <v>286</v>
      </c>
    </row>
    <row r="165" spans="1:27" ht="15" customHeight="1" x14ac:dyDescent="0.25">
      <c r="A165" s="350"/>
      <c r="B165" s="350" t="s">
        <v>126</v>
      </c>
      <c r="C165" s="351">
        <f>C164/365</f>
        <v>10.95890410958904</v>
      </c>
      <c r="D165" s="348" t="s">
        <v>68</v>
      </c>
      <c r="E165" s="343"/>
      <c r="F165" s="348"/>
      <c r="Q165" s="303">
        <v>0.57089999999999996</v>
      </c>
      <c r="R165" s="260" t="s">
        <v>287</v>
      </c>
      <c r="V165" s="330" t="s">
        <v>288</v>
      </c>
      <c r="W165" s="298" t="s">
        <v>289</v>
      </c>
      <c r="X165" s="290">
        <v>27.4</v>
      </c>
      <c r="Y165" s="260" t="s">
        <v>114</v>
      </c>
      <c r="Z165" s="260" t="s">
        <v>290</v>
      </c>
    </row>
    <row r="166" spans="1:27" ht="15" customHeight="1" x14ac:dyDescent="0.25">
      <c r="A166" s="350"/>
      <c r="B166" s="350" t="s">
        <v>179</v>
      </c>
      <c r="C166" s="357">
        <f>VLOOKUP(VLOOKUP(C$145, '-calcs-'!$B$736:$M$752, 2, FALSE), '-calcs-'!$A$684:$S$699, 19, FALSE)</f>
        <v>4050</v>
      </c>
      <c r="D166" s="348" t="s">
        <v>6</v>
      </c>
      <c r="E166" s="357">
        <v>35</v>
      </c>
      <c r="F166" s="348" t="s">
        <v>172</v>
      </c>
      <c r="M166" s="260" t="s">
        <v>291</v>
      </c>
      <c r="O166" s="260">
        <f>O159+O160-O162-O163-O164</f>
        <v>379.91887999999994</v>
      </c>
      <c r="Q166" s="303">
        <v>0.35310000000000002</v>
      </c>
      <c r="R166" s="260" t="s">
        <v>292</v>
      </c>
      <c r="X166" s="310">
        <f>SUM(X164:X165)</f>
        <v>37.4</v>
      </c>
    </row>
    <row r="167" spans="1:27" ht="15" customHeight="1" x14ac:dyDescent="0.25">
      <c r="A167" s="361"/>
      <c r="B167" s="350" t="s">
        <v>173</v>
      </c>
      <c r="C167" s="357">
        <f>C151*C166</f>
        <v>4050</v>
      </c>
      <c r="D167" s="348" t="s">
        <v>6</v>
      </c>
      <c r="E167" s="357">
        <v>35</v>
      </c>
      <c r="F167" s="348" t="s">
        <v>172</v>
      </c>
      <c r="Q167" s="303">
        <v>0.21890000000000001</v>
      </c>
      <c r="R167" s="260" t="s">
        <v>293</v>
      </c>
    </row>
    <row r="168" spans="1:27" ht="15" customHeight="1" x14ac:dyDescent="0.25">
      <c r="A168" s="350"/>
      <c r="B168" s="350" t="s">
        <v>417</v>
      </c>
      <c r="C168" s="357" cm="1">
        <f t="array" ref="C168">INDEX(M183:N194, _xlfn.XMATCH(C167, M183:M194, 1), 2)</f>
        <v>25</v>
      </c>
      <c r="D168" s="348" t="s">
        <v>46</v>
      </c>
      <c r="E168" s="343"/>
      <c r="F168" s="348"/>
      <c r="N168" s="318" t="s">
        <v>187</v>
      </c>
      <c r="O168" s="318" t="s">
        <v>188</v>
      </c>
      <c r="P168" s="318" t="s">
        <v>189</v>
      </c>
      <c r="Q168" s="318" t="s">
        <v>190</v>
      </c>
      <c r="R168" s="318" t="s">
        <v>35</v>
      </c>
      <c r="S168" s="318" t="s">
        <v>191</v>
      </c>
      <c r="T168" s="318" t="s">
        <v>192</v>
      </c>
      <c r="U168" s="318" t="s">
        <v>193</v>
      </c>
      <c r="V168" s="318" t="s">
        <v>194</v>
      </c>
      <c r="W168" s="318" t="s">
        <v>195</v>
      </c>
      <c r="X168" s="318" t="s">
        <v>196</v>
      </c>
      <c r="Y168" s="318" t="s">
        <v>197</v>
      </c>
    </row>
    <row r="169" spans="1:27" ht="15" customHeight="1" x14ac:dyDescent="0.25">
      <c r="A169" s="350"/>
      <c r="B169" s="370" t="s">
        <v>79</v>
      </c>
      <c r="C169" s="348">
        <v>3</v>
      </c>
      <c r="D169" s="347" t="s">
        <v>4</v>
      </c>
      <c r="E169" s="343"/>
      <c r="F169" s="348"/>
      <c r="M169" s="298" t="s">
        <v>294</v>
      </c>
      <c r="N169" s="303">
        <v>0.49249547280141825</v>
      </c>
      <c r="O169" s="303">
        <v>0.49249547280141825</v>
      </c>
      <c r="P169" s="303">
        <v>0.49249547280141825</v>
      </c>
      <c r="Q169" s="303">
        <v>0.42343858999999995</v>
      </c>
      <c r="R169" s="303">
        <v>0.42343858999999995</v>
      </c>
      <c r="S169" s="303">
        <v>0.42343858999999995</v>
      </c>
      <c r="T169" s="303">
        <v>0.42343858999999995</v>
      </c>
      <c r="U169" s="303">
        <v>0.42343858999999995</v>
      </c>
      <c r="V169" s="303">
        <v>0.42343858999999995</v>
      </c>
      <c r="W169" s="303">
        <v>0.42343858999999995</v>
      </c>
      <c r="X169" s="303">
        <v>0.49249547280141825</v>
      </c>
      <c r="Y169" s="303">
        <v>0.49249547280141825</v>
      </c>
    </row>
    <row r="170" spans="1:27" ht="15" customHeight="1" x14ac:dyDescent="0.25">
      <c r="A170" s="350"/>
      <c r="B170" s="350" t="s">
        <v>80</v>
      </c>
      <c r="C170" s="348">
        <v>2</v>
      </c>
      <c r="D170" s="371" t="s">
        <v>81</v>
      </c>
      <c r="E170" s="343"/>
      <c r="F170" s="348"/>
      <c r="M170" s="298" t="s">
        <v>295</v>
      </c>
      <c r="N170" s="303">
        <v>0.26685204952891234</v>
      </c>
      <c r="O170" s="303">
        <v>0.26685204952891234</v>
      </c>
      <c r="P170" s="303">
        <v>0.26685204952891234</v>
      </c>
      <c r="Q170" s="303">
        <v>0.23137534306569346</v>
      </c>
      <c r="R170" s="303">
        <v>0.23137534306569346</v>
      </c>
      <c r="S170" s="303">
        <v>0.26210209507169846</v>
      </c>
      <c r="T170" s="303">
        <v>0.26210209507169846</v>
      </c>
      <c r="U170" s="303">
        <v>0.26210209507169846</v>
      </c>
      <c r="V170" s="303">
        <v>0.23137534306569346</v>
      </c>
      <c r="W170" s="303">
        <v>0.23137534306569346</v>
      </c>
      <c r="X170" s="303">
        <v>0.26685204952891234</v>
      </c>
      <c r="Y170" s="303">
        <v>0.26685204952891234</v>
      </c>
    </row>
    <row r="171" spans="1:27" ht="15" customHeight="1" x14ac:dyDescent="0.25">
      <c r="A171" s="350"/>
      <c r="B171" s="370" t="s">
        <v>82</v>
      </c>
      <c r="C171" s="357">
        <f>C182*1000/(C184*C181)</f>
        <v>195.3125</v>
      </c>
      <c r="D171" s="347" t="s">
        <v>6</v>
      </c>
      <c r="E171" s="343"/>
      <c r="F171" s="348"/>
      <c r="J171" s="277"/>
      <c r="O171" s="265" t="s">
        <v>296</v>
      </c>
      <c r="P171" s="265"/>
      <c r="Q171" s="265"/>
      <c r="R171" s="265"/>
      <c r="S171" s="265" t="s">
        <v>297</v>
      </c>
      <c r="T171" s="265"/>
      <c r="U171" s="265"/>
      <c r="V171" s="265"/>
    </row>
    <row r="172" spans="1:27" ht="15" customHeight="1" x14ac:dyDescent="0.25">
      <c r="A172" s="350"/>
      <c r="B172" s="370" t="s">
        <v>83</v>
      </c>
      <c r="C172" s="348">
        <f>1.68*10^-8*1.0786*C170/C173</f>
        <v>1.4496383999999998E-3</v>
      </c>
      <c r="D172" s="347" t="s">
        <v>84</v>
      </c>
      <c r="E172" s="343"/>
      <c r="F172" s="348"/>
      <c r="K172" s="277"/>
      <c r="M172" s="298" t="s">
        <v>298</v>
      </c>
      <c r="N172" s="303">
        <v>14.236500885106382</v>
      </c>
      <c r="O172" s="303">
        <v>14.236500885106382</v>
      </c>
      <c r="P172" s="303">
        <v>14.236500885106382</v>
      </c>
      <c r="Q172" s="303">
        <v>12.573870300000001</v>
      </c>
      <c r="R172" s="303">
        <v>12.573870300000001</v>
      </c>
      <c r="S172" s="303">
        <v>13.405185592553192</v>
      </c>
      <c r="T172" s="303">
        <v>13.405185592553192</v>
      </c>
      <c r="U172" s="303">
        <v>13.405185592553192</v>
      </c>
      <c r="V172" s="303">
        <v>12.573870300000001</v>
      </c>
      <c r="W172" s="303">
        <v>12.573870300000001</v>
      </c>
      <c r="X172" s="303">
        <v>14.236500885106382</v>
      </c>
      <c r="Y172" s="303">
        <v>14.236500885106382</v>
      </c>
    </row>
    <row r="173" spans="1:27" ht="15" customHeight="1" x14ac:dyDescent="0.25">
      <c r="A173" s="350"/>
      <c r="B173" s="350" t="s">
        <v>85</v>
      </c>
      <c r="C173" s="348">
        <f>C168/1000000</f>
        <v>2.5000000000000001E-5</v>
      </c>
      <c r="D173" s="347" t="s">
        <v>86</v>
      </c>
      <c r="E173" s="343"/>
      <c r="F173" s="348"/>
    </row>
    <row r="174" spans="1:27" ht="15" customHeight="1" x14ac:dyDescent="0.25">
      <c r="A174" s="350"/>
      <c r="B174" s="350" t="s">
        <v>87</v>
      </c>
      <c r="C174" s="367">
        <f>C171*C172</f>
        <v>0.28313249999999995</v>
      </c>
      <c r="D174" s="347" t="s">
        <v>76</v>
      </c>
      <c r="E174" s="343"/>
      <c r="F174" s="348"/>
    </row>
    <row r="175" spans="1:27" ht="15" customHeight="1" x14ac:dyDescent="0.25">
      <c r="A175" s="350"/>
      <c r="B175" s="350" t="s">
        <v>88</v>
      </c>
      <c r="C175" s="372">
        <f>C174/C153</f>
        <v>5.8985937499999993E-3</v>
      </c>
      <c r="D175" s="347"/>
      <c r="E175" s="343"/>
      <c r="F175" s="348"/>
    </row>
    <row r="176" spans="1:27" ht="15" customHeight="1" x14ac:dyDescent="0.25">
      <c r="A176" s="350"/>
      <c r="B176" s="350"/>
      <c r="C176" s="350"/>
      <c r="D176" s="348"/>
      <c r="E176" s="343"/>
      <c r="F176" s="348"/>
    </row>
    <row r="177" spans="1:20" ht="15" customHeight="1" x14ac:dyDescent="0.25">
      <c r="A177" s="343"/>
      <c r="B177" s="361" t="s">
        <v>418</v>
      </c>
      <c r="C177" s="343">
        <f>Calculator!$E$14</f>
        <v>4</v>
      </c>
      <c r="D177" s="343" t="s">
        <v>72</v>
      </c>
      <c r="E177" s="343"/>
      <c r="F177" s="348"/>
    </row>
    <row r="178" spans="1:20" ht="15" customHeight="1" x14ac:dyDescent="0.25">
      <c r="A178" s="363" t="s">
        <v>135</v>
      </c>
      <c r="B178" s="350" t="s">
        <v>136</v>
      </c>
      <c r="C178" s="357">
        <f>VLOOKUP(C$177, '-calcs-'!$A$670:$T$679, 5, FALSE)</f>
        <v>5000</v>
      </c>
      <c r="D178" s="343" t="s">
        <v>137</v>
      </c>
      <c r="E178" s="343"/>
      <c r="F178" s="348"/>
    </row>
    <row r="179" spans="1:20" ht="15" customHeight="1" x14ac:dyDescent="0.25">
      <c r="A179" s="343"/>
      <c r="B179" s="350" t="s">
        <v>1</v>
      </c>
      <c r="C179" s="325" t="str">
        <f>VLOOKUP(C$177, '-calcs-'!$A$670:$T$679, 3, FALSE)</f>
        <v>Victron</v>
      </c>
      <c r="D179" s="343"/>
      <c r="E179" s="343"/>
      <c r="F179" s="348"/>
    </row>
    <row r="180" spans="1:20" ht="15" customHeight="1" x14ac:dyDescent="0.25">
      <c r="A180" s="343"/>
      <c r="B180" s="350" t="s">
        <v>0</v>
      </c>
      <c r="C180" s="373" t="str">
        <f>VLOOKUP(C$177, '-calcs-'!$A$670:$T$679, 2, FALSE)</f>
        <v>MultiplusII 48/5000/70</v>
      </c>
      <c r="D180" s="343"/>
      <c r="E180" s="343"/>
      <c r="F180" s="348" t="s">
        <v>426</v>
      </c>
      <c r="L180" s="289" t="s">
        <v>598</v>
      </c>
      <c r="O180" s="311" t="s">
        <v>599</v>
      </c>
      <c r="P180" s="311" t="s">
        <v>599</v>
      </c>
      <c r="Q180" s="289" t="s">
        <v>598</v>
      </c>
    </row>
    <row r="181" spans="1:20" ht="15" customHeight="1" x14ac:dyDescent="0.25">
      <c r="A181" s="343"/>
      <c r="B181" s="350" t="s">
        <v>121</v>
      </c>
      <c r="C181" s="357">
        <f>VLOOKUP(C$177, '-calcs-'!$A$670:$T$679, 4, FALSE)</f>
        <v>48</v>
      </c>
      <c r="D181" s="343" t="s">
        <v>422</v>
      </c>
      <c r="E181" s="343"/>
      <c r="F181" s="348" t="s">
        <v>427</v>
      </c>
      <c r="L181" s="312" t="s">
        <v>96</v>
      </c>
      <c r="M181" s="302"/>
      <c r="N181" s="312" t="s">
        <v>132</v>
      </c>
      <c r="O181" s="312" t="s">
        <v>96</v>
      </c>
      <c r="P181" s="312" t="s">
        <v>128</v>
      </c>
      <c r="Q181" s="312" t="s">
        <v>128</v>
      </c>
      <c r="R181" s="313" t="s">
        <v>100</v>
      </c>
      <c r="S181" s="312" t="s">
        <v>130</v>
      </c>
      <c r="T181" s="289" t="s">
        <v>90</v>
      </c>
    </row>
    <row r="182" spans="1:20" ht="15" customHeight="1" x14ac:dyDescent="0.25">
      <c r="A182" s="343"/>
      <c r="B182" s="350" t="s">
        <v>115</v>
      </c>
      <c r="C182" s="351">
        <f>VLOOKUP(C$177, '-calcs-'!$A$670:$T$679, 7, FALSE)</f>
        <v>9</v>
      </c>
      <c r="D182" s="343" t="s">
        <v>72</v>
      </c>
      <c r="E182" s="343"/>
      <c r="F182" s="348" t="s">
        <v>428</v>
      </c>
      <c r="L182" s="312" t="s">
        <v>133</v>
      </c>
      <c r="M182" s="302" t="s">
        <v>416</v>
      </c>
      <c r="N182" s="312" t="s">
        <v>77</v>
      </c>
      <c r="O182" s="312" t="s">
        <v>133</v>
      </c>
      <c r="P182" s="312" t="s">
        <v>96</v>
      </c>
      <c r="Q182" s="312" t="s">
        <v>96</v>
      </c>
      <c r="R182" s="302"/>
      <c r="S182" s="302"/>
      <c r="T182" s="289" t="s">
        <v>91</v>
      </c>
    </row>
    <row r="183" spans="1:20" x14ac:dyDescent="0.25">
      <c r="A183" s="343"/>
      <c r="B183" s="350" t="s">
        <v>136</v>
      </c>
      <c r="C183" s="351">
        <f>VLOOKUP(C$177, '-calcs-'!$A$670:$T$679, 6, FALSE)</f>
        <v>4</v>
      </c>
      <c r="D183" s="343" t="s">
        <v>72</v>
      </c>
      <c r="E183" s="343"/>
      <c r="F183" s="348" t="s">
        <v>429</v>
      </c>
      <c r="H183" s="277"/>
      <c r="L183" s="302">
        <v>54</v>
      </c>
      <c r="M183" s="302">
        <f t="shared" ref="M183:M193" si="63">P183</f>
        <v>1790</v>
      </c>
      <c r="N183" s="302">
        <v>10</v>
      </c>
      <c r="O183" s="302">
        <v>102</v>
      </c>
      <c r="P183" s="260">
        <v>1790</v>
      </c>
      <c r="Q183" s="302">
        <v>1460</v>
      </c>
      <c r="R183" s="302"/>
      <c r="S183" s="302"/>
    </row>
    <row r="184" spans="1:20" ht="15" customHeight="1" x14ac:dyDescent="0.25">
      <c r="A184" s="343"/>
      <c r="B184" s="350" t="s">
        <v>138</v>
      </c>
      <c r="C184" s="367">
        <f>VLOOKUP(C$177, '-calcs-'!$A$670:$T$679, 10, FALSE)</f>
        <v>0.96</v>
      </c>
      <c r="D184" s="343"/>
      <c r="E184" s="343"/>
      <c r="F184" s="348" t="s">
        <v>430</v>
      </c>
      <c r="H184" s="277"/>
      <c r="L184" s="302">
        <v>63</v>
      </c>
      <c r="M184" s="302">
        <f t="shared" si="63"/>
        <v>2327</v>
      </c>
      <c r="N184" s="302">
        <v>13</v>
      </c>
      <c r="O184" s="302">
        <v>63</v>
      </c>
      <c r="P184" s="260">
        <v>2327</v>
      </c>
      <c r="Q184" s="302">
        <v>1898</v>
      </c>
      <c r="R184" s="302" t="s">
        <v>92</v>
      </c>
      <c r="S184" s="302"/>
    </row>
    <row r="185" spans="1:20" x14ac:dyDescent="0.25">
      <c r="A185" s="350"/>
      <c r="B185" s="350"/>
      <c r="C185" s="350"/>
      <c r="D185" s="348"/>
      <c r="E185" s="343"/>
      <c r="F185" s="348"/>
      <c r="L185" s="302">
        <v>72</v>
      </c>
      <c r="M185" s="302">
        <f t="shared" si="63"/>
        <v>2864</v>
      </c>
      <c r="N185" s="302">
        <v>16</v>
      </c>
      <c r="O185" s="302">
        <v>135</v>
      </c>
      <c r="P185" s="260">
        <v>2864</v>
      </c>
      <c r="Q185" s="302">
        <v>2336</v>
      </c>
      <c r="R185" s="302"/>
      <c r="S185" s="302"/>
      <c r="T185" s="277" t="s">
        <v>129</v>
      </c>
    </row>
    <row r="186" spans="1:20" x14ac:dyDescent="0.25">
      <c r="A186" s="363" t="s">
        <v>127</v>
      </c>
      <c r="B186" s="350" t="s">
        <v>145</v>
      </c>
      <c r="C186" s="357">
        <v>7</v>
      </c>
      <c r="D186" s="348" t="s">
        <v>146</v>
      </c>
      <c r="E186" s="343"/>
      <c r="F186" s="348" t="s">
        <v>176</v>
      </c>
      <c r="L186" s="302">
        <v>85</v>
      </c>
      <c r="M186" s="302">
        <f t="shared" si="63"/>
        <v>2958</v>
      </c>
      <c r="N186" s="302">
        <v>20.260000000000002</v>
      </c>
      <c r="O186" s="302">
        <v>85</v>
      </c>
      <c r="P186" s="260">
        <v>2958</v>
      </c>
      <c r="Q186" s="260">
        <v>2958</v>
      </c>
      <c r="R186" s="302" t="s">
        <v>93</v>
      </c>
      <c r="S186" s="302" t="s">
        <v>131</v>
      </c>
      <c r="T186" s="314" t="s">
        <v>95</v>
      </c>
    </row>
    <row r="187" spans="1:20" x14ac:dyDescent="0.25">
      <c r="A187" s="343"/>
      <c r="B187" s="350" t="s">
        <v>144</v>
      </c>
      <c r="C187" s="351">
        <f>Loads!M9</f>
        <v>15.5</v>
      </c>
      <c r="D187" s="348" t="s">
        <v>73</v>
      </c>
      <c r="E187" s="343" t="s">
        <v>932</v>
      </c>
      <c r="F187" s="348"/>
      <c r="L187" s="302">
        <v>97</v>
      </c>
      <c r="M187" s="302">
        <f t="shared" si="63"/>
        <v>4475</v>
      </c>
      <c r="N187" s="302">
        <v>25</v>
      </c>
      <c r="O187" s="302">
        <v>178</v>
      </c>
      <c r="P187" s="260">
        <v>4475</v>
      </c>
      <c r="Q187" s="302">
        <v>3650</v>
      </c>
      <c r="R187" s="302" t="s">
        <v>94</v>
      </c>
      <c r="S187" s="302"/>
      <c r="T187" s="277" t="s">
        <v>98</v>
      </c>
    </row>
    <row r="188" spans="1:20" x14ac:dyDescent="0.25">
      <c r="A188" s="343"/>
      <c r="B188" s="350" t="s">
        <v>144</v>
      </c>
      <c r="C188" s="351">
        <f>Loads!M11</f>
        <v>15.5</v>
      </c>
      <c r="D188" s="348" t="s">
        <v>73</v>
      </c>
      <c r="E188" s="374" t="s">
        <v>577</v>
      </c>
      <c r="F188" s="348"/>
      <c r="L188" s="302">
        <v>119</v>
      </c>
      <c r="M188" s="302">
        <f t="shared" si="63"/>
        <v>6265</v>
      </c>
      <c r="N188" s="302">
        <v>35</v>
      </c>
      <c r="O188" s="302">
        <v>221</v>
      </c>
      <c r="P188" s="260">
        <v>6265</v>
      </c>
      <c r="Q188" s="302">
        <v>5110</v>
      </c>
      <c r="R188" s="302"/>
      <c r="S188" s="302"/>
      <c r="T188" s="277"/>
    </row>
    <row r="189" spans="1:20" x14ac:dyDescent="0.25">
      <c r="A189" s="343"/>
      <c r="B189" s="350" t="s">
        <v>74</v>
      </c>
      <c r="C189" s="351">
        <v>3</v>
      </c>
      <c r="D189" s="348" t="s">
        <v>75</v>
      </c>
      <c r="E189" s="343" t="s">
        <v>154</v>
      </c>
      <c r="F189" s="348"/>
      <c r="K189" s="277"/>
      <c r="L189" s="302"/>
      <c r="M189" s="302">
        <f t="shared" si="63"/>
        <v>5774</v>
      </c>
      <c r="N189" s="302">
        <v>39.549999999999997</v>
      </c>
      <c r="O189" s="302">
        <v>130</v>
      </c>
      <c r="P189" s="302">
        <v>5774</v>
      </c>
      <c r="Q189" s="302">
        <v>5774</v>
      </c>
      <c r="R189" s="302" t="s">
        <v>97</v>
      </c>
      <c r="S189" s="302"/>
    </row>
    <row r="190" spans="1:20" x14ac:dyDescent="0.25">
      <c r="A190" s="343"/>
      <c r="B190" s="350" t="s">
        <v>148</v>
      </c>
      <c r="C190" s="351">
        <f>MIN(N124:Z124)</f>
        <v>2.4</v>
      </c>
      <c r="D190" s="348" t="s">
        <v>152</v>
      </c>
      <c r="E190" s="375" t="str">
        <f>C139</f>
        <v>Sydney</v>
      </c>
      <c r="F190" s="348"/>
      <c r="K190" s="277"/>
      <c r="L190" s="302">
        <v>146</v>
      </c>
      <c r="M190" s="302">
        <f t="shared" si="63"/>
        <v>8950</v>
      </c>
      <c r="N190" s="302">
        <v>50</v>
      </c>
      <c r="O190" s="302">
        <v>279</v>
      </c>
      <c r="P190" s="260">
        <v>8950</v>
      </c>
      <c r="Q190" s="302">
        <v>7300</v>
      </c>
      <c r="R190" s="302" t="s">
        <v>99</v>
      </c>
      <c r="S190" s="302"/>
    </row>
    <row r="191" spans="1:20" x14ac:dyDescent="0.25">
      <c r="A191" s="343"/>
      <c r="B191" s="350" t="s">
        <v>147</v>
      </c>
      <c r="C191" s="351">
        <f>MAX(N124:Z124)</f>
        <v>6.5</v>
      </c>
      <c r="D191" s="348" t="s">
        <v>152</v>
      </c>
      <c r="E191" s="375" t="str">
        <f>E190</f>
        <v>Sydney</v>
      </c>
      <c r="F191" s="348"/>
      <c r="I191" s="315"/>
      <c r="J191" s="277"/>
      <c r="K191" s="277"/>
      <c r="L191" s="302">
        <v>184</v>
      </c>
      <c r="M191" s="302">
        <f t="shared" si="63"/>
        <v>12530</v>
      </c>
      <c r="N191" s="302">
        <v>70</v>
      </c>
      <c r="O191" s="302">
        <v>351</v>
      </c>
      <c r="P191" s="260">
        <v>12530</v>
      </c>
      <c r="Q191" s="302">
        <v>10220</v>
      </c>
      <c r="R191" s="302"/>
      <c r="S191" s="302"/>
    </row>
    <row r="192" spans="1:20" x14ac:dyDescent="0.25">
      <c r="A192" s="343"/>
      <c r="B192" s="350" t="s">
        <v>150</v>
      </c>
      <c r="C192" s="351">
        <f>C190*C$132*E192*C184/1000</f>
        <v>0</v>
      </c>
      <c r="D192" s="348" t="s">
        <v>73</v>
      </c>
      <c r="E192" s="343">
        <v>0.9</v>
      </c>
      <c r="F192" s="348" t="s">
        <v>159</v>
      </c>
      <c r="L192" s="302">
        <v>230</v>
      </c>
      <c r="M192" s="302">
        <f t="shared" si="63"/>
        <v>16110</v>
      </c>
      <c r="N192" s="302">
        <v>95</v>
      </c>
      <c r="O192" s="302">
        <v>422</v>
      </c>
      <c r="P192" s="260">
        <v>16110</v>
      </c>
      <c r="Q192" s="302">
        <v>13870</v>
      </c>
      <c r="R192" s="302"/>
      <c r="S192" s="302"/>
    </row>
    <row r="193" spans="1:19" x14ac:dyDescent="0.25">
      <c r="A193" s="343"/>
      <c r="B193" s="350" t="s">
        <v>149</v>
      </c>
      <c r="C193" s="351">
        <f>C191*C$132*E193*C184/1000</f>
        <v>0</v>
      </c>
      <c r="D193" s="348" t="s">
        <v>73</v>
      </c>
      <c r="E193" s="343">
        <v>0.9</v>
      </c>
      <c r="F193" s="348" t="s">
        <v>159</v>
      </c>
      <c r="L193" s="302">
        <v>267</v>
      </c>
      <c r="M193" s="302">
        <f t="shared" si="63"/>
        <v>21480</v>
      </c>
      <c r="N193" s="302">
        <v>120</v>
      </c>
      <c r="O193" s="302">
        <v>500</v>
      </c>
      <c r="P193" s="260">
        <v>21480</v>
      </c>
      <c r="Q193" s="302">
        <v>17520</v>
      </c>
      <c r="R193" s="302"/>
      <c r="S193" s="302"/>
    </row>
    <row r="194" spans="1:19" x14ac:dyDescent="0.25">
      <c r="A194" s="343"/>
      <c r="B194" s="350" t="s">
        <v>151</v>
      </c>
      <c r="C194" s="351">
        <f>C187*3</f>
        <v>46.5</v>
      </c>
      <c r="D194" s="348" t="s">
        <v>114</v>
      </c>
      <c r="E194" s="343"/>
      <c r="F194" s="348"/>
      <c r="P194" s="260" t="s">
        <v>134</v>
      </c>
    </row>
    <row r="195" spans="1:19" ht="15.75" x14ac:dyDescent="0.25">
      <c r="A195" s="343"/>
      <c r="B195" s="350"/>
      <c r="C195" s="376">
        <f>ROUND(3*C160/C194, 1)</f>
        <v>1.9</v>
      </c>
      <c r="D195" s="348" t="s">
        <v>432</v>
      </c>
      <c r="E195" s="343"/>
      <c r="F195" s="348"/>
      <c r="L195" s="277"/>
      <c r="N195" s="282" t="s">
        <v>600</v>
      </c>
      <c r="P195" s="302"/>
      <c r="Q195" s="302"/>
      <c r="R195" s="302"/>
      <c r="S195" s="302"/>
    </row>
    <row r="196" spans="1:19" x14ac:dyDescent="0.25">
      <c r="A196" s="343"/>
      <c r="B196" s="350" t="s">
        <v>492</v>
      </c>
      <c r="C196" s="351">
        <f>Calculator!E11/C184*(1-Calculator!E12/100)</f>
        <v>12.395833333333334</v>
      </c>
      <c r="D196" s="348" t="s">
        <v>73</v>
      </c>
      <c r="E196" s="343"/>
      <c r="F196" s="348"/>
      <c r="G196" s="277"/>
      <c r="H196" s="278"/>
      <c r="I196" s="277"/>
      <c r="J196" s="277"/>
      <c r="K196" s="277"/>
      <c r="L196" s="316"/>
      <c r="N196" s="313" t="s">
        <v>100</v>
      </c>
      <c r="O196" s="313" t="s">
        <v>601</v>
      </c>
      <c r="P196" s="313" t="s">
        <v>602</v>
      </c>
      <c r="Q196" s="313" t="s">
        <v>603</v>
      </c>
      <c r="R196" s="313" t="s">
        <v>604</v>
      </c>
      <c r="S196" s="302"/>
    </row>
    <row r="197" spans="1:19" x14ac:dyDescent="0.25">
      <c r="A197" s="343"/>
      <c r="B197" s="350" t="s">
        <v>491</v>
      </c>
      <c r="C197" s="351">
        <f>C196*3</f>
        <v>37.1875</v>
      </c>
      <c r="D197" s="348" t="s">
        <v>114</v>
      </c>
      <c r="E197" s="343"/>
      <c r="F197" s="348"/>
      <c r="I197" s="277"/>
      <c r="K197" s="277"/>
      <c r="L197" s="316"/>
      <c r="N197" s="302" t="s">
        <v>605</v>
      </c>
      <c r="O197" s="302">
        <v>7.71</v>
      </c>
      <c r="P197" s="302">
        <v>5.5</v>
      </c>
      <c r="Q197" s="302">
        <v>74</v>
      </c>
      <c r="R197" s="302" t="s">
        <v>606</v>
      </c>
      <c r="S197" s="302"/>
    </row>
    <row r="198" spans="1:19" x14ac:dyDescent="0.25">
      <c r="A198" s="343"/>
      <c r="B198" s="343"/>
      <c r="C198" s="376">
        <f>ROUND(3*C159/C197, 1)</f>
        <v>2.4</v>
      </c>
      <c r="D198" s="348" t="s">
        <v>432</v>
      </c>
      <c r="E198" s="343"/>
      <c r="F198" s="348"/>
      <c r="I198" s="277"/>
      <c r="K198" s="277"/>
      <c r="L198" s="316"/>
      <c r="N198" s="302" t="s">
        <v>607</v>
      </c>
      <c r="O198" s="302">
        <v>13.5</v>
      </c>
      <c r="P198" s="302">
        <v>7.2</v>
      </c>
      <c r="Q198" s="302">
        <v>103</v>
      </c>
      <c r="R198" s="302" t="s">
        <v>608</v>
      </c>
      <c r="S198" s="302"/>
    </row>
    <row r="199" spans="1:19" x14ac:dyDescent="0.25">
      <c r="A199" s="343"/>
      <c r="B199" s="343"/>
      <c r="C199" s="343"/>
      <c r="D199" s="343"/>
      <c r="E199" s="343"/>
      <c r="F199" s="348"/>
      <c r="I199" s="277"/>
      <c r="K199" s="277"/>
      <c r="L199" s="316"/>
      <c r="N199" s="302" t="s">
        <v>609</v>
      </c>
      <c r="O199" s="302">
        <v>20.260000000000002</v>
      </c>
      <c r="P199" s="302">
        <v>8.3000000000000007</v>
      </c>
      <c r="Q199" s="302">
        <v>135</v>
      </c>
      <c r="R199" s="302" t="s">
        <v>610</v>
      </c>
      <c r="S199" s="302"/>
    </row>
    <row r="200" spans="1:19" x14ac:dyDescent="0.25">
      <c r="A200" s="343"/>
      <c r="B200" s="343"/>
      <c r="C200" s="343"/>
      <c r="D200" s="343"/>
      <c r="E200" s="343"/>
      <c r="F200" s="348"/>
      <c r="I200" s="277"/>
      <c r="K200" s="277"/>
      <c r="L200" s="316"/>
      <c r="N200" s="302" t="s">
        <v>611</v>
      </c>
      <c r="O200" s="302">
        <v>26.45</v>
      </c>
      <c r="P200" s="302">
        <v>10.199999999999999</v>
      </c>
      <c r="Q200" s="302">
        <v>168</v>
      </c>
      <c r="R200" s="302" t="s">
        <v>612</v>
      </c>
      <c r="S200" s="302"/>
    </row>
    <row r="201" spans="1:19" x14ac:dyDescent="0.25">
      <c r="A201" s="343"/>
      <c r="B201" s="343"/>
      <c r="C201" s="343"/>
      <c r="D201" s="343"/>
      <c r="E201" s="343"/>
      <c r="F201" s="348"/>
      <c r="I201" s="277"/>
      <c r="K201" s="277"/>
      <c r="L201" s="316"/>
      <c r="N201" s="302" t="s">
        <v>613</v>
      </c>
      <c r="O201" s="302">
        <v>32.07</v>
      </c>
      <c r="P201" s="302">
        <v>11.3</v>
      </c>
      <c r="Q201" s="302">
        <v>188</v>
      </c>
      <c r="R201" s="302" t="s">
        <v>614</v>
      </c>
      <c r="S201" s="302"/>
    </row>
    <row r="202" spans="1:19" x14ac:dyDescent="0.25">
      <c r="A202" s="343"/>
      <c r="B202" s="343"/>
      <c r="C202" s="343"/>
      <c r="D202" s="343"/>
      <c r="E202" s="343"/>
      <c r="F202" s="348"/>
      <c r="I202" s="277"/>
      <c r="K202" s="277"/>
      <c r="N202" s="302" t="s">
        <v>615</v>
      </c>
      <c r="O202" s="302">
        <v>39.549999999999997</v>
      </c>
      <c r="P202" s="302">
        <v>12.1</v>
      </c>
      <c r="Q202" s="302">
        <v>210</v>
      </c>
      <c r="R202" s="302" t="s">
        <v>616</v>
      </c>
      <c r="S202" s="302"/>
    </row>
    <row r="203" spans="1:19" x14ac:dyDescent="0.25">
      <c r="A203" s="343"/>
      <c r="B203" s="343"/>
      <c r="C203" s="343"/>
      <c r="D203" s="343"/>
      <c r="E203" s="343"/>
      <c r="F203" s="348"/>
      <c r="N203" s="302" t="s">
        <v>617</v>
      </c>
      <c r="O203" s="302">
        <v>49</v>
      </c>
      <c r="P203" s="302">
        <v>12.7</v>
      </c>
      <c r="Q203" s="302">
        <v>246</v>
      </c>
      <c r="R203" s="302" t="s">
        <v>618</v>
      </c>
      <c r="S203" s="302"/>
    </row>
    <row r="204" spans="1:19" x14ac:dyDescent="0.25">
      <c r="A204" s="343"/>
      <c r="B204" s="343"/>
      <c r="C204" s="343"/>
      <c r="D204" s="343"/>
      <c r="E204" s="343"/>
      <c r="F204" s="348"/>
    </row>
    <row r="205" spans="1:19" x14ac:dyDescent="0.25">
      <c r="A205" s="343"/>
      <c r="B205" s="343"/>
      <c r="C205" s="343"/>
      <c r="D205" s="343"/>
      <c r="E205" s="343"/>
      <c r="F205" s="348"/>
    </row>
    <row r="206" spans="1:19" ht="20.25" x14ac:dyDescent="0.3">
      <c r="A206" s="343"/>
      <c r="B206" s="345" t="s">
        <v>704</v>
      </c>
      <c r="C206" s="343"/>
      <c r="D206" s="343"/>
      <c r="E206" s="343"/>
      <c r="F206" s="348"/>
    </row>
    <row r="207" spans="1:19" x14ac:dyDescent="0.25">
      <c r="A207" s="343"/>
      <c r="B207" s="343"/>
      <c r="C207" s="343"/>
      <c r="D207" s="343"/>
      <c r="E207" s="343"/>
      <c r="F207" s="343"/>
      <c r="O207" s="260" t="s">
        <v>461</v>
      </c>
    </row>
    <row r="208" spans="1:19" x14ac:dyDescent="0.25">
      <c r="A208" s="343"/>
      <c r="B208" s="343"/>
      <c r="C208" s="361" t="s">
        <v>312</v>
      </c>
      <c r="D208" s="363" t="s">
        <v>18</v>
      </c>
      <c r="E208" s="363" t="s">
        <v>14</v>
      </c>
      <c r="F208" s="363" t="s">
        <v>17</v>
      </c>
      <c r="G208" s="279" t="s">
        <v>20</v>
      </c>
      <c r="H208" s="279" t="s">
        <v>15</v>
      </c>
      <c r="I208" s="279" t="s">
        <v>13</v>
      </c>
      <c r="J208" s="279" t="s">
        <v>19</v>
      </c>
      <c r="K208" s="279" t="s">
        <v>462</v>
      </c>
      <c r="L208" s="279" t="s">
        <v>16</v>
      </c>
      <c r="M208" s="279" t="s">
        <v>233</v>
      </c>
      <c r="O208" s="260" t="s">
        <v>18</v>
      </c>
      <c r="P208" s="260" t="s">
        <v>707</v>
      </c>
    </row>
    <row r="209" spans="1:46" x14ac:dyDescent="0.25">
      <c r="A209" s="343"/>
      <c r="B209" s="343"/>
      <c r="C209" s="343" t="s">
        <v>21</v>
      </c>
      <c r="D209" s="343"/>
      <c r="E209" s="343"/>
      <c r="F209" s="343"/>
      <c r="O209" s="260" t="s">
        <v>14</v>
      </c>
      <c r="P209" s="260" t="s">
        <v>463</v>
      </c>
      <c r="Q209" s="317"/>
      <c r="R209" s="317" t="s">
        <v>464</v>
      </c>
      <c r="S209" s="259"/>
      <c r="T209" s="259"/>
      <c r="U209" s="259"/>
      <c r="V209" s="259"/>
      <c r="W209" s="259"/>
      <c r="X209" s="259"/>
      <c r="Y209" s="259"/>
      <c r="Z209" s="259"/>
      <c r="AA209" s="259"/>
    </row>
    <row r="210" spans="1:46" x14ac:dyDescent="0.25">
      <c r="A210" s="343"/>
      <c r="B210" s="343"/>
      <c r="C210" s="343" t="s">
        <v>503</v>
      </c>
      <c r="D210" s="343"/>
      <c r="E210" s="343"/>
      <c r="F210" s="343"/>
      <c r="O210" s="260" t="s">
        <v>17</v>
      </c>
      <c r="P210" s="260" t="s">
        <v>465</v>
      </c>
      <c r="R210" s="260" t="s">
        <v>466</v>
      </c>
    </row>
    <row r="211" spans="1:46" x14ac:dyDescent="0.25">
      <c r="A211" s="343"/>
      <c r="B211" s="343"/>
      <c r="C211" s="374" t="s">
        <v>12</v>
      </c>
      <c r="D211" s="343"/>
      <c r="E211" s="343"/>
      <c r="F211" s="343"/>
      <c r="O211" s="260" t="s">
        <v>20</v>
      </c>
      <c r="P211" s="260" t="s">
        <v>467</v>
      </c>
      <c r="R211" s="260" t="s">
        <v>18</v>
      </c>
      <c r="S211" s="260" t="s">
        <v>468</v>
      </c>
      <c r="U211" s="260" t="s">
        <v>14</v>
      </c>
      <c r="X211" s="260" t="s">
        <v>17</v>
      </c>
      <c r="AA211" s="260" t="s">
        <v>20</v>
      </c>
      <c r="AD211" s="260" t="s">
        <v>15</v>
      </c>
      <c r="AG211" s="260" t="s">
        <v>13</v>
      </c>
      <c r="AJ211" s="260" t="s">
        <v>19</v>
      </c>
      <c r="AM211" s="260" t="s">
        <v>462</v>
      </c>
      <c r="AP211" s="260" t="s">
        <v>16</v>
      </c>
      <c r="AS211" s="260" t="s">
        <v>233</v>
      </c>
    </row>
    <row r="212" spans="1:46" x14ac:dyDescent="0.25">
      <c r="A212" s="343"/>
      <c r="B212" s="343"/>
      <c r="C212" s="363" t="s">
        <v>27</v>
      </c>
      <c r="D212" s="343">
        <v>6.6</v>
      </c>
      <c r="E212" s="343">
        <v>7.1</v>
      </c>
      <c r="F212" s="343">
        <v>5.2</v>
      </c>
      <c r="G212" s="260">
        <v>6.4</v>
      </c>
      <c r="H212" s="260">
        <v>6.4</v>
      </c>
      <c r="I212" s="260">
        <v>6.8</v>
      </c>
      <c r="J212" s="260">
        <v>7.6</v>
      </c>
      <c r="K212" s="259">
        <v>7.5</v>
      </c>
      <c r="L212" s="260">
        <v>8.1</v>
      </c>
      <c r="M212" s="260">
        <v>5.9</v>
      </c>
      <c r="O212" s="260" t="s">
        <v>15</v>
      </c>
      <c r="P212" s="260" t="s">
        <v>469</v>
      </c>
      <c r="R212" s="331" t="s">
        <v>187</v>
      </c>
      <c r="S212" s="260" t="s">
        <v>708</v>
      </c>
      <c r="U212" s="331" t="s">
        <v>187</v>
      </c>
      <c r="V212" s="260" t="s">
        <v>711</v>
      </c>
      <c r="X212" s="331" t="s">
        <v>187</v>
      </c>
      <c r="Y212" s="260" t="s">
        <v>733</v>
      </c>
      <c r="AA212" s="331" t="s">
        <v>187</v>
      </c>
      <c r="AB212" s="260" t="s">
        <v>745</v>
      </c>
      <c r="AD212" s="331" t="s">
        <v>187</v>
      </c>
      <c r="AE212" s="260" t="s">
        <v>757</v>
      </c>
      <c r="AG212" s="331" t="s">
        <v>187</v>
      </c>
      <c r="AH212" s="260" t="s">
        <v>769</v>
      </c>
      <c r="AJ212" s="331" t="s">
        <v>187</v>
      </c>
      <c r="AK212" s="260" t="s">
        <v>781</v>
      </c>
      <c r="AM212" s="331" t="s">
        <v>187</v>
      </c>
      <c r="AN212" s="260" t="s">
        <v>793</v>
      </c>
      <c r="AP212" s="331" t="s">
        <v>187</v>
      </c>
      <c r="AQ212" s="260" t="s">
        <v>805</v>
      </c>
      <c r="AS212" s="331" t="s">
        <v>187</v>
      </c>
      <c r="AT212" s="260" t="s">
        <v>817</v>
      </c>
    </row>
    <row r="213" spans="1:46" x14ac:dyDescent="0.25">
      <c r="A213" s="343"/>
      <c r="B213" s="343"/>
      <c r="C213" s="363" t="s">
        <v>28</v>
      </c>
      <c r="D213" s="343">
        <v>5.9</v>
      </c>
      <c r="E213" s="343">
        <v>6.1</v>
      </c>
      <c r="F213" s="343">
        <v>5.4</v>
      </c>
      <c r="G213" s="260">
        <v>5.0999999999999996</v>
      </c>
      <c r="H213" s="260">
        <v>5.6</v>
      </c>
      <c r="I213" s="260">
        <v>5.9</v>
      </c>
      <c r="J213" s="260">
        <v>6.8</v>
      </c>
      <c r="K213" s="259">
        <v>7.1</v>
      </c>
      <c r="L213" s="260">
        <v>7.1</v>
      </c>
      <c r="M213" s="260">
        <v>5.6</v>
      </c>
      <c r="O213" s="260" t="s">
        <v>13</v>
      </c>
      <c r="P213" s="260" t="s">
        <v>470</v>
      </c>
      <c r="R213" s="331" t="s">
        <v>188</v>
      </c>
      <c r="S213" s="260" t="s">
        <v>709</v>
      </c>
      <c r="U213" s="331" t="s">
        <v>188</v>
      </c>
      <c r="V213" s="260" t="s">
        <v>712</v>
      </c>
      <c r="X213" s="331" t="s">
        <v>188</v>
      </c>
      <c r="Y213" s="260" t="s">
        <v>734</v>
      </c>
      <c r="AA213" s="331" t="s">
        <v>188</v>
      </c>
      <c r="AB213" s="260" t="s">
        <v>746</v>
      </c>
      <c r="AD213" s="331" t="s">
        <v>188</v>
      </c>
      <c r="AE213" s="260" t="s">
        <v>758</v>
      </c>
      <c r="AG213" s="331" t="s">
        <v>188</v>
      </c>
      <c r="AH213" s="260" t="s">
        <v>770</v>
      </c>
      <c r="AJ213" s="331" t="s">
        <v>188</v>
      </c>
      <c r="AK213" s="260" t="s">
        <v>782</v>
      </c>
      <c r="AM213" s="331" t="s">
        <v>188</v>
      </c>
      <c r="AN213" s="260" t="s">
        <v>794</v>
      </c>
      <c r="AP213" s="331" t="s">
        <v>188</v>
      </c>
      <c r="AQ213" s="260" t="s">
        <v>806</v>
      </c>
      <c r="AS213" s="331" t="s">
        <v>188</v>
      </c>
      <c r="AT213" s="260" t="s">
        <v>818</v>
      </c>
    </row>
    <row r="214" spans="1:46" x14ac:dyDescent="0.25">
      <c r="A214" s="343"/>
      <c r="B214" s="343"/>
      <c r="C214" s="363" t="s">
        <v>29</v>
      </c>
      <c r="D214" s="343">
        <v>5.2</v>
      </c>
      <c r="E214" s="343">
        <v>5.0999999999999996</v>
      </c>
      <c r="F214" s="343">
        <v>5.9</v>
      </c>
      <c r="G214" s="260">
        <v>3.6</v>
      </c>
      <c r="H214" s="260">
        <v>4.8</v>
      </c>
      <c r="I214" s="260">
        <v>4.5999999999999996</v>
      </c>
      <c r="J214" s="260">
        <v>5.4</v>
      </c>
      <c r="K214" s="259">
        <v>6.6</v>
      </c>
      <c r="L214" s="260">
        <v>5.8</v>
      </c>
      <c r="M214" s="260">
        <v>5.3</v>
      </c>
      <c r="O214" s="260" t="s">
        <v>19</v>
      </c>
      <c r="P214" s="260" t="s">
        <v>471</v>
      </c>
      <c r="R214" s="331" t="s">
        <v>189</v>
      </c>
      <c r="S214" s="260" t="s">
        <v>723</v>
      </c>
      <c r="U214" s="331" t="s">
        <v>189</v>
      </c>
      <c r="V214" s="260" t="s">
        <v>713</v>
      </c>
      <c r="X214" s="331" t="s">
        <v>189</v>
      </c>
      <c r="Y214" s="260" t="s">
        <v>735</v>
      </c>
      <c r="AA214" s="331" t="s">
        <v>189</v>
      </c>
      <c r="AB214" s="260" t="s">
        <v>747</v>
      </c>
      <c r="AD214" s="331" t="s">
        <v>189</v>
      </c>
      <c r="AE214" s="260" t="s">
        <v>759</v>
      </c>
      <c r="AG214" s="331" t="s">
        <v>189</v>
      </c>
      <c r="AH214" s="260" t="s">
        <v>771</v>
      </c>
      <c r="AJ214" s="331" t="s">
        <v>189</v>
      </c>
      <c r="AK214" s="260" t="s">
        <v>783</v>
      </c>
      <c r="AM214" s="331" t="s">
        <v>189</v>
      </c>
      <c r="AN214" s="260" t="s">
        <v>795</v>
      </c>
      <c r="AP214" s="331" t="s">
        <v>189</v>
      </c>
      <c r="AQ214" s="260" t="s">
        <v>807</v>
      </c>
      <c r="AS214" s="331" t="s">
        <v>189</v>
      </c>
      <c r="AT214" s="260" t="s">
        <v>819</v>
      </c>
    </row>
    <row r="215" spans="1:46" x14ac:dyDescent="0.25">
      <c r="A215" s="343"/>
      <c r="B215" s="343"/>
      <c r="C215" s="363" t="s">
        <v>32</v>
      </c>
      <c r="D215" s="343">
        <v>4.5</v>
      </c>
      <c r="E215" s="343">
        <v>3.8</v>
      </c>
      <c r="F215" s="343">
        <v>6.1</v>
      </c>
      <c r="G215" s="260">
        <v>2.6</v>
      </c>
      <c r="H215" s="260">
        <v>3.8</v>
      </c>
      <c r="I215" s="260">
        <v>3.1</v>
      </c>
      <c r="J215" s="260">
        <v>3.8</v>
      </c>
      <c r="K215" s="259">
        <v>5.6</v>
      </c>
      <c r="L215" s="260">
        <v>4.2</v>
      </c>
      <c r="M215" s="260">
        <v>5</v>
      </c>
      <c r="O215" s="260" t="s">
        <v>462</v>
      </c>
      <c r="P215" s="260" t="s">
        <v>472</v>
      </c>
      <c r="R215" s="331" t="s">
        <v>190</v>
      </c>
      <c r="S215" s="260" t="s">
        <v>724</v>
      </c>
      <c r="U215" s="331" t="s">
        <v>190</v>
      </c>
      <c r="V215" s="260" t="s">
        <v>714</v>
      </c>
      <c r="X215" s="331" t="s">
        <v>190</v>
      </c>
      <c r="Y215" s="260" t="s">
        <v>736</v>
      </c>
      <c r="AA215" s="331" t="s">
        <v>190</v>
      </c>
      <c r="AB215" s="260" t="s">
        <v>748</v>
      </c>
      <c r="AD215" s="331" t="s">
        <v>190</v>
      </c>
      <c r="AE215" s="260" t="s">
        <v>760</v>
      </c>
      <c r="AG215" s="331" t="s">
        <v>190</v>
      </c>
      <c r="AH215" s="260" t="s">
        <v>772</v>
      </c>
      <c r="AJ215" s="331" t="s">
        <v>190</v>
      </c>
      <c r="AK215" s="260" t="s">
        <v>784</v>
      </c>
      <c r="AM215" s="331" t="s">
        <v>190</v>
      </c>
      <c r="AN215" s="260" t="s">
        <v>796</v>
      </c>
      <c r="AP215" s="331" t="s">
        <v>190</v>
      </c>
      <c r="AQ215" s="260" t="s">
        <v>808</v>
      </c>
      <c r="AS215" s="331" t="s">
        <v>190</v>
      </c>
      <c r="AT215" s="260" t="s">
        <v>820</v>
      </c>
    </row>
    <row r="216" spans="1:46" x14ac:dyDescent="0.25">
      <c r="A216" s="343"/>
      <c r="B216" s="343"/>
      <c r="C216" s="363" t="s">
        <v>35</v>
      </c>
      <c r="D216" s="343">
        <v>3.7</v>
      </c>
      <c r="E216" s="343">
        <v>2.8</v>
      </c>
      <c r="F216" s="343">
        <v>5.7</v>
      </c>
      <c r="G216" s="260">
        <v>1.6</v>
      </c>
      <c r="H216" s="260">
        <v>2.9</v>
      </c>
      <c r="I216" s="260">
        <v>2.1</v>
      </c>
      <c r="J216" s="260">
        <v>2.6</v>
      </c>
      <c r="K216" s="259">
        <v>4.5</v>
      </c>
      <c r="L216" s="260">
        <v>3.1</v>
      </c>
      <c r="M216" s="260">
        <v>4.5</v>
      </c>
      <c r="O216" s="260" t="s">
        <v>16</v>
      </c>
      <c r="P216" s="260" t="s">
        <v>473</v>
      </c>
      <c r="R216" s="331" t="s">
        <v>35</v>
      </c>
      <c r="S216" s="260" t="s">
        <v>725</v>
      </c>
      <c r="U216" s="331" t="s">
        <v>35</v>
      </c>
      <c r="V216" s="260" t="s">
        <v>715</v>
      </c>
      <c r="X216" s="331" t="s">
        <v>35</v>
      </c>
      <c r="Y216" s="260" t="s">
        <v>737</v>
      </c>
      <c r="AA216" s="331" t="s">
        <v>35</v>
      </c>
      <c r="AB216" s="260" t="s">
        <v>749</v>
      </c>
      <c r="AD216" s="331" t="s">
        <v>35</v>
      </c>
      <c r="AE216" s="260" t="s">
        <v>761</v>
      </c>
      <c r="AG216" s="331" t="s">
        <v>35</v>
      </c>
      <c r="AH216" s="260" t="s">
        <v>773</v>
      </c>
      <c r="AJ216" s="331" t="s">
        <v>35</v>
      </c>
      <c r="AK216" s="260" t="s">
        <v>785</v>
      </c>
      <c r="AM216" s="331" t="s">
        <v>35</v>
      </c>
      <c r="AN216" s="260" t="s">
        <v>797</v>
      </c>
      <c r="AP216" s="331" t="s">
        <v>35</v>
      </c>
      <c r="AQ216" s="260" t="s">
        <v>809</v>
      </c>
      <c r="AS216" s="331" t="s">
        <v>35</v>
      </c>
      <c r="AT216" s="260" t="s">
        <v>821</v>
      </c>
    </row>
    <row r="217" spans="1:46" x14ac:dyDescent="0.25">
      <c r="A217" s="343"/>
      <c r="B217" s="343"/>
      <c r="C217" s="363" t="s">
        <v>54</v>
      </c>
      <c r="D217" s="343">
        <v>3.3</v>
      </c>
      <c r="E217" s="343">
        <v>2.2000000000000002</v>
      </c>
      <c r="F217" s="343">
        <v>5.5</v>
      </c>
      <c r="G217" s="260">
        <v>1.3</v>
      </c>
      <c r="H217" s="260">
        <v>2.4</v>
      </c>
      <c r="I217" s="260">
        <v>1.7</v>
      </c>
      <c r="J217" s="260">
        <v>2.2000000000000002</v>
      </c>
      <c r="K217" s="259">
        <v>4.0999999999999996</v>
      </c>
      <c r="L217" s="260">
        <v>2.6</v>
      </c>
      <c r="M217" s="260">
        <v>4.2</v>
      </c>
      <c r="O217" s="260" t="s">
        <v>233</v>
      </c>
      <c r="P217" s="260" t="s">
        <v>474</v>
      </c>
      <c r="R217" s="331" t="s">
        <v>191</v>
      </c>
      <c r="S217" s="260" t="s">
        <v>726</v>
      </c>
      <c r="U217" s="331" t="s">
        <v>191</v>
      </c>
      <c r="V217" s="260" t="s">
        <v>716</v>
      </c>
      <c r="X217" s="331" t="s">
        <v>191</v>
      </c>
      <c r="Y217" s="260" t="s">
        <v>738</v>
      </c>
      <c r="AA217" s="331" t="s">
        <v>191</v>
      </c>
      <c r="AB217" s="260" t="s">
        <v>750</v>
      </c>
      <c r="AD217" s="331" t="s">
        <v>191</v>
      </c>
      <c r="AE217" s="260" t="s">
        <v>762</v>
      </c>
      <c r="AG217" s="331" t="s">
        <v>191</v>
      </c>
      <c r="AH217" s="260" t="s">
        <v>774</v>
      </c>
      <c r="AJ217" s="331" t="s">
        <v>191</v>
      </c>
      <c r="AK217" s="260" t="s">
        <v>786</v>
      </c>
      <c r="AM217" s="331" t="s">
        <v>191</v>
      </c>
      <c r="AN217" s="260" t="s">
        <v>798</v>
      </c>
      <c r="AP217" s="331" t="s">
        <v>191</v>
      </c>
      <c r="AQ217" s="260" t="s">
        <v>810</v>
      </c>
      <c r="AS217" s="331" t="s">
        <v>191</v>
      </c>
      <c r="AT217" s="260" t="s">
        <v>822</v>
      </c>
    </row>
    <row r="218" spans="1:46" x14ac:dyDescent="0.25">
      <c r="A218" s="343"/>
      <c r="B218" s="343"/>
      <c r="C218" s="363" t="s">
        <v>56</v>
      </c>
      <c r="D218" s="343">
        <v>3.6</v>
      </c>
      <c r="E218" s="343">
        <v>2.5</v>
      </c>
      <c r="F218" s="343">
        <v>5.7</v>
      </c>
      <c r="G218" s="260">
        <v>1.5</v>
      </c>
      <c r="H218" s="260">
        <v>2.7</v>
      </c>
      <c r="I218" s="260">
        <v>1.9</v>
      </c>
      <c r="J218" s="260">
        <v>2.4</v>
      </c>
      <c r="K218" s="259">
        <v>4.4000000000000004</v>
      </c>
      <c r="L218" s="260">
        <v>2.8</v>
      </c>
      <c r="M218" s="260">
        <v>4.5</v>
      </c>
      <c r="O218" s="279" t="s">
        <v>475</v>
      </c>
      <c r="R218" s="331" t="s">
        <v>192</v>
      </c>
      <c r="S218" s="260" t="s">
        <v>727</v>
      </c>
      <c r="U218" s="331" t="s">
        <v>192</v>
      </c>
      <c r="V218" s="260" t="s">
        <v>717</v>
      </c>
      <c r="X218" s="331" t="s">
        <v>192</v>
      </c>
      <c r="Y218" s="260" t="s">
        <v>739</v>
      </c>
      <c r="AA218" s="331" t="s">
        <v>192</v>
      </c>
      <c r="AB218" s="260" t="s">
        <v>751</v>
      </c>
      <c r="AD218" s="331" t="s">
        <v>192</v>
      </c>
      <c r="AE218" s="260" t="s">
        <v>763</v>
      </c>
      <c r="AG218" s="331" t="s">
        <v>192</v>
      </c>
      <c r="AH218" s="260" t="s">
        <v>775</v>
      </c>
      <c r="AJ218" s="331" t="s">
        <v>192</v>
      </c>
      <c r="AK218" s="260" t="s">
        <v>787</v>
      </c>
      <c r="AM218" s="331" t="s">
        <v>192</v>
      </c>
      <c r="AN218" s="260" t="s">
        <v>799</v>
      </c>
      <c r="AP218" s="331" t="s">
        <v>192</v>
      </c>
      <c r="AQ218" s="260" t="s">
        <v>811</v>
      </c>
      <c r="AS218" s="331" t="s">
        <v>192</v>
      </c>
      <c r="AT218" s="260" t="s">
        <v>823</v>
      </c>
    </row>
    <row r="219" spans="1:46" x14ac:dyDescent="0.25">
      <c r="A219" s="343"/>
      <c r="B219" s="343"/>
      <c r="C219" s="363" t="s">
        <v>59</v>
      </c>
      <c r="D219" s="343">
        <v>4.4000000000000004</v>
      </c>
      <c r="E219" s="343">
        <v>3.4</v>
      </c>
      <c r="F219" s="343">
        <v>6.3</v>
      </c>
      <c r="G219" s="260">
        <v>2.2000000000000002</v>
      </c>
      <c r="H219" s="260">
        <v>3.6</v>
      </c>
      <c r="I219" s="260">
        <v>2.7</v>
      </c>
      <c r="J219" s="260">
        <v>3.3</v>
      </c>
      <c r="K219" s="259">
        <v>5.3</v>
      </c>
      <c r="L219" s="260">
        <v>3.6</v>
      </c>
      <c r="M219" s="260">
        <v>5.2</v>
      </c>
      <c r="O219" s="260" t="s">
        <v>18</v>
      </c>
      <c r="P219" s="260" t="s">
        <v>710</v>
      </c>
      <c r="R219" s="331" t="s">
        <v>193</v>
      </c>
      <c r="S219" s="260" t="s">
        <v>728</v>
      </c>
      <c r="U219" s="331" t="s">
        <v>193</v>
      </c>
      <c r="V219" s="260" t="s">
        <v>718</v>
      </c>
      <c r="X219" s="331" t="s">
        <v>193</v>
      </c>
      <c r="Y219" s="260" t="s">
        <v>740</v>
      </c>
      <c r="AA219" s="331" t="s">
        <v>193</v>
      </c>
      <c r="AB219" s="260" t="s">
        <v>752</v>
      </c>
      <c r="AD219" s="331" t="s">
        <v>193</v>
      </c>
      <c r="AE219" s="260" t="s">
        <v>764</v>
      </c>
      <c r="AG219" s="331" t="s">
        <v>193</v>
      </c>
      <c r="AH219" s="260" t="s">
        <v>776</v>
      </c>
      <c r="AJ219" s="331" t="s">
        <v>193</v>
      </c>
      <c r="AK219" s="260" t="s">
        <v>788</v>
      </c>
      <c r="AM219" s="331" t="s">
        <v>193</v>
      </c>
      <c r="AN219" s="260" t="s">
        <v>800</v>
      </c>
      <c r="AP219" s="331" t="s">
        <v>193</v>
      </c>
      <c r="AQ219" s="260" t="s">
        <v>812</v>
      </c>
      <c r="AS219" s="331" t="s">
        <v>193</v>
      </c>
      <c r="AT219" s="260" t="s">
        <v>824</v>
      </c>
    </row>
    <row r="220" spans="1:46" x14ac:dyDescent="0.25">
      <c r="A220" s="343"/>
      <c r="B220" s="343"/>
      <c r="C220" s="363" t="s">
        <v>62</v>
      </c>
      <c r="D220" s="343">
        <v>5.4</v>
      </c>
      <c r="E220" s="343">
        <v>4.5999999999999996</v>
      </c>
      <c r="F220" s="343">
        <v>6.6</v>
      </c>
      <c r="G220" s="260">
        <v>3.3</v>
      </c>
      <c r="H220" s="260">
        <v>4.7</v>
      </c>
      <c r="I220" s="260">
        <v>3.7</v>
      </c>
      <c r="J220" s="260">
        <v>4.4000000000000004</v>
      </c>
      <c r="K220" s="259">
        <v>6.2</v>
      </c>
      <c r="L220" s="260">
        <v>4.7</v>
      </c>
      <c r="M220" s="260">
        <v>6.1</v>
      </c>
      <c r="O220" s="260" t="s">
        <v>14</v>
      </c>
      <c r="P220" s="260" t="s">
        <v>829</v>
      </c>
      <c r="R220" s="331" t="s">
        <v>194</v>
      </c>
      <c r="S220" s="260" t="s">
        <v>729</v>
      </c>
      <c r="U220" s="331" t="s">
        <v>194</v>
      </c>
      <c r="V220" s="260" t="s">
        <v>719</v>
      </c>
      <c r="X220" s="331" t="s">
        <v>194</v>
      </c>
      <c r="Y220" s="260" t="s">
        <v>741</v>
      </c>
      <c r="AA220" s="331" t="s">
        <v>194</v>
      </c>
      <c r="AB220" s="260" t="s">
        <v>753</v>
      </c>
      <c r="AD220" s="331" t="s">
        <v>194</v>
      </c>
      <c r="AE220" s="260" t="s">
        <v>765</v>
      </c>
      <c r="AG220" s="331" t="s">
        <v>194</v>
      </c>
      <c r="AH220" s="260" t="s">
        <v>777</v>
      </c>
      <c r="AJ220" s="331" t="s">
        <v>194</v>
      </c>
      <c r="AK220" s="260" t="s">
        <v>789</v>
      </c>
      <c r="AM220" s="331" t="s">
        <v>194</v>
      </c>
      <c r="AN220" s="260" t="s">
        <v>801</v>
      </c>
      <c r="AP220" s="331" t="s">
        <v>194</v>
      </c>
      <c r="AQ220" s="260" t="s">
        <v>813</v>
      </c>
      <c r="AS220" s="331" t="s">
        <v>194</v>
      </c>
      <c r="AT220" s="260" t="s">
        <v>825</v>
      </c>
    </row>
    <row r="221" spans="1:46" x14ac:dyDescent="0.25">
      <c r="A221" s="343"/>
      <c r="B221" s="343"/>
      <c r="C221" s="363" t="s">
        <v>65</v>
      </c>
      <c r="D221" s="343">
        <v>6</v>
      </c>
      <c r="E221" s="343">
        <v>5.8</v>
      </c>
      <c r="F221" s="343">
        <v>6.7</v>
      </c>
      <c r="G221" s="260">
        <v>4.7</v>
      </c>
      <c r="H221" s="260">
        <v>5.6</v>
      </c>
      <c r="I221" s="260">
        <v>5</v>
      </c>
      <c r="J221" s="260">
        <v>5.8</v>
      </c>
      <c r="K221" s="259">
        <v>7</v>
      </c>
      <c r="L221" s="260">
        <v>6.3</v>
      </c>
      <c r="M221" s="260">
        <v>6.5</v>
      </c>
      <c r="O221" s="260" t="s">
        <v>17</v>
      </c>
      <c r="P221" s="260" t="s">
        <v>830</v>
      </c>
      <c r="R221" s="331" t="s">
        <v>195</v>
      </c>
      <c r="S221" s="260" t="s">
        <v>730</v>
      </c>
      <c r="U221" s="331" t="s">
        <v>195</v>
      </c>
      <c r="V221" s="260" t="s">
        <v>720</v>
      </c>
      <c r="X221" s="331" t="s">
        <v>195</v>
      </c>
      <c r="Y221" s="260" t="s">
        <v>742</v>
      </c>
      <c r="AA221" s="331" t="s">
        <v>195</v>
      </c>
      <c r="AB221" s="260" t="s">
        <v>754</v>
      </c>
      <c r="AD221" s="331" t="s">
        <v>195</v>
      </c>
      <c r="AE221" s="260" t="s">
        <v>766</v>
      </c>
      <c r="AG221" s="331" t="s">
        <v>195</v>
      </c>
      <c r="AH221" s="260" t="s">
        <v>778</v>
      </c>
      <c r="AJ221" s="331" t="s">
        <v>195</v>
      </c>
      <c r="AK221" s="260" t="s">
        <v>790</v>
      </c>
      <c r="AM221" s="331" t="s">
        <v>195</v>
      </c>
      <c r="AN221" s="260" t="s">
        <v>802</v>
      </c>
      <c r="AP221" s="331" t="s">
        <v>195</v>
      </c>
      <c r="AQ221" s="260" t="s">
        <v>814</v>
      </c>
      <c r="AS221" s="331" t="s">
        <v>195</v>
      </c>
      <c r="AT221" s="260" t="s">
        <v>826</v>
      </c>
    </row>
    <row r="222" spans="1:46" x14ac:dyDescent="0.25">
      <c r="A222" s="343"/>
      <c r="B222" s="343"/>
      <c r="C222" s="363" t="s">
        <v>67</v>
      </c>
      <c r="D222" s="343">
        <v>6.6</v>
      </c>
      <c r="E222" s="343">
        <v>6.6</v>
      </c>
      <c r="F222" s="343">
        <v>6.3</v>
      </c>
      <c r="G222" s="260">
        <v>5.4</v>
      </c>
      <c r="H222" s="260">
        <v>6</v>
      </c>
      <c r="I222" s="260">
        <v>5.9</v>
      </c>
      <c r="J222" s="260">
        <v>7</v>
      </c>
      <c r="K222" s="259">
        <v>7.3</v>
      </c>
      <c r="L222" s="260">
        <v>7.5</v>
      </c>
      <c r="M222" s="260">
        <v>6.5</v>
      </c>
      <c r="O222" s="260" t="s">
        <v>20</v>
      </c>
      <c r="P222" s="260" t="s">
        <v>831</v>
      </c>
      <c r="R222" s="331" t="s">
        <v>196</v>
      </c>
      <c r="S222" s="260" t="s">
        <v>731</v>
      </c>
      <c r="U222" s="331" t="s">
        <v>196</v>
      </c>
      <c r="V222" s="260" t="s">
        <v>721</v>
      </c>
      <c r="X222" s="331" t="s">
        <v>196</v>
      </c>
      <c r="Y222" s="260" t="s">
        <v>743</v>
      </c>
      <c r="AA222" s="331" t="s">
        <v>196</v>
      </c>
      <c r="AB222" s="260" t="s">
        <v>755</v>
      </c>
      <c r="AD222" s="331" t="s">
        <v>196</v>
      </c>
      <c r="AE222" s="260" t="s">
        <v>767</v>
      </c>
      <c r="AG222" s="331" t="s">
        <v>196</v>
      </c>
      <c r="AH222" s="260" t="s">
        <v>779</v>
      </c>
      <c r="AJ222" s="331" t="s">
        <v>196</v>
      </c>
      <c r="AK222" s="260" t="s">
        <v>791</v>
      </c>
      <c r="AM222" s="331" t="s">
        <v>196</v>
      </c>
      <c r="AN222" s="260" t="s">
        <v>803</v>
      </c>
      <c r="AP222" s="331" t="s">
        <v>196</v>
      </c>
      <c r="AQ222" s="260" t="s">
        <v>815</v>
      </c>
      <c r="AS222" s="331" t="s">
        <v>196</v>
      </c>
      <c r="AT222" s="260" t="s">
        <v>827</v>
      </c>
    </row>
    <row r="223" spans="1:46" x14ac:dyDescent="0.25">
      <c r="A223" s="343"/>
      <c r="B223" s="343"/>
      <c r="C223" s="363" t="s">
        <v>69</v>
      </c>
      <c r="D223" s="343">
        <v>6.7</v>
      </c>
      <c r="E223" s="343">
        <v>7.2</v>
      </c>
      <c r="F223" s="343">
        <v>5.6</v>
      </c>
      <c r="G223" s="260">
        <v>6.3</v>
      </c>
      <c r="H223" s="260">
        <v>6.5</v>
      </c>
      <c r="I223" s="260">
        <v>6.7</v>
      </c>
      <c r="J223" s="260">
        <v>7.5</v>
      </c>
      <c r="K223" s="259">
        <v>7.4</v>
      </c>
      <c r="L223" s="260">
        <v>8.3000000000000007</v>
      </c>
      <c r="M223" s="260">
        <v>6.3</v>
      </c>
      <c r="O223" s="260" t="s">
        <v>15</v>
      </c>
      <c r="P223" s="260" t="s">
        <v>832</v>
      </c>
      <c r="R223" s="331" t="s">
        <v>197</v>
      </c>
      <c r="S223" s="260" t="s">
        <v>732</v>
      </c>
      <c r="U223" s="331" t="s">
        <v>197</v>
      </c>
      <c r="V223" s="260" t="s">
        <v>722</v>
      </c>
      <c r="X223" s="331" t="s">
        <v>197</v>
      </c>
      <c r="Y223" s="260" t="s">
        <v>744</v>
      </c>
      <c r="AA223" s="331" t="s">
        <v>197</v>
      </c>
      <c r="AB223" s="260" t="s">
        <v>756</v>
      </c>
      <c r="AD223" s="331" t="s">
        <v>197</v>
      </c>
      <c r="AE223" s="260" t="s">
        <v>768</v>
      </c>
      <c r="AG223" s="331" t="s">
        <v>197</v>
      </c>
      <c r="AH223" s="260" t="s">
        <v>780</v>
      </c>
      <c r="AJ223" s="331" t="s">
        <v>197</v>
      </c>
      <c r="AK223" s="260" t="s">
        <v>792</v>
      </c>
      <c r="AM223" s="331" t="s">
        <v>197</v>
      </c>
      <c r="AN223" s="260" t="s">
        <v>804</v>
      </c>
      <c r="AP223" s="331" t="s">
        <v>197</v>
      </c>
      <c r="AQ223" s="260" t="s">
        <v>816</v>
      </c>
      <c r="AS223" s="331" t="s">
        <v>197</v>
      </c>
      <c r="AT223" s="260" t="s">
        <v>828</v>
      </c>
    </row>
    <row r="224" spans="1:46" x14ac:dyDescent="0.25">
      <c r="A224" s="343"/>
      <c r="B224" s="343"/>
      <c r="C224" s="374" t="s">
        <v>70</v>
      </c>
      <c r="D224" s="343">
        <f t="shared" ref="D224:M224" si="64">ROUND(AVERAGE(D212:D223), 1)</f>
        <v>5.2</v>
      </c>
      <c r="E224" s="343">
        <f t="shared" si="64"/>
        <v>4.8</v>
      </c>
      <c r="F224" s="343">
        <f t="shared" si="64"/>
        <v>5.9</v>
      </c>
      <c r="G224" s="260">
        <f t="shared" si="64"/>
        <v>3.7</v>
      </c>
      <c r="H224" s="260">
        <f t="shared" si="64"/>
        <v>4.5999999999999996</v>
      </c>
      <c r="I224" s="260">
        <f t="shared" si="64"/>
        <v>4.2</v>
      </c>
      <c r="J224" s="260">
        <f t="shared" si="64"/>
        <v>4.9000000000000004</v>
      </c>
      <c r="K224" s="260">
        <f t="shared" si="64"/>
        <v>6.1</v>
      </c>
      <c r="L224" s="260">
        <f t="shared" si="64"/>
        <v>5.3</v>
      </c>
      <c r="M224" s="260">
        <f t="shared" si="64"/>
        <v>5.5</v>
      </c>
      <c r="O224" s="260" t="s">
        <v>13</v>
      </c>
      <c r="P224" s="260" t="s">
        <v>833</v>
      </c>
    </row>
    <row r="225" spans="1:97" ht="15.75" customHeight="1" x14ac:dyDescent="0.25">
      <c r="A225" s="343"/>
      <c r="B225" s="343"/>
      <c r="C225" s="343"/>
      <c r="D225" s="343"/>
      <c r="E225" s="343"/>
      <c r="F225" s="343"/>
      <c r="O225" s="260" t="s">
        <v>19</v>
      </c>
      <c r="P225" s="260" t="s">
        <v>834</v>
      </c>
    </row>
    <row r="226" spans="1:97" x14ac:dyDescent="0.25">
      <c r="A226" s="343"/>
      <c r="B226" s="343"/>
      <c r="C226" s="343" t="s">
        <v>71</v>
      </c>
      <c r="D226" s="343">
        <v>1971</v>
      </c>
      <c r="E226" s="343">
        <v>1789</v>
      </c>
      <c r="F226" s="343">
        <v>2117</v>
      </c>
      <c r="G226" s="260">
        <v>1424</v>
      </c>
      <c r="H226" s="260">
        <v>1862</v>
      </c>
      <c r="I226" s="260">
        <v>1679</v>
      </c>
      <c r="J226" s="260">
        <v>2060</v>
      </c>
      <c r="K226" s="260">
        <v>2224</v>
      </c>
      <c r="L226" s="260">
        <v>1935</v>
      </c>
      <c r="M226" s="260">
        <f>5.6*365</f>
        <v>2043.9999999999998</v>
      </c>
      <c r="O226" s="260" t="s">
        <v>462</v>
      </c>
      <c r="P226" s="260" t="s">
        <v>835</v>
      </c>
    </row>
    <row r="227" spans="1:97" x14ac:dyDescent="0.25">
      <c r="A227" s="343"/>
      <c r="B227" s="343"/>
      <c r="C227" s="343"/>
      <c r="D227" s="343"/>
      <c r="E227" s="343"/>
      <c r="F227" s="343"/>
      <c r="O227" s="260" t="s">
        <v>16</v>
      </c>
      <c r="P227" s="260" t="s">
        <v>836</v>
      </c>
    </row>
    <row r="228" spans="1:97" ht="18.75" x14ac:dyDescent="0.3">
      <c r="A228" s="343"/>
      <c r="B228" s="343"/>
      <c r="C228" s="378" t="s">
        <v>232</v>
      </c>
      <c r="D228" s="343"/>
      <c r="E228" s="343"/>
      <c r="F228" s="343"/>
      <c r="O228" s="260" t="s">
        <v>233</v>
      </c>
      <c r="P228" s="260" t="s">
        <v>837</v>
      </c>
    </row>
    <row r="229" spans="1:97" x14ac:dyDescent="0.25">
      <c r="A229" s="343"/>
      <c r="B229" s="343"/>
      <c r="C229" s="343" t="s">
        <v>476</v>
      </c>
      <c r="D229" s="343"/>
      <c r="E229" s="343"/>
      <c r="F229" s="343"/>
    </row>
    <row r="230" spans="1:97" x14ac:dyDescent="0.25">
      <c r="A230" s="343"/>
      <c r="B230" s="343"/>
      <c r="C230" s="343"/>
      <c r="D230" s="343"/>
      <c r="E230" s="343"/>
      <c r="F230" s="343"/>
    </row>
    <row r="231" spans="1:97" ht="15.75" x14ac:dyDescent="0.25">
      <c r="C231" s="415" t="s">
        <v>223</v>
      </c>
      <c r="D231" s="415"/>
      <c r="E231" s="415"/>
      <c r="F231" s="415"/>
      <c r="G231" s="415"/>
      <c r="H231" s="415"/>
      <c r="I231" s="415"/>
      <c r="J231" s="415"/>
      <c r="K231" s="415"/>
      <c r="L231" s="415"/>
      <c r="M231" s="332"/>
      <c r="O231" s="279" t="s">
        <v>477</v>
      </c>
    </row>
    <row r="232" spans="1:97" ht="16.5" customHeight="1" x14ac:dyDescent="0.25">
      <c r="C232" s="416" t="s">
        <v>221</v>
      </c>
      <c r="D232" s="416" t="s">
        <v>222</v>
      </c>
      <c r="E232" s="416"/>
      <c r="F232" s="416"/>
      <c r="G232" s="416"/>
      <c r="H232" s="416"/>
      <c r="I232" s="416"/>
      <c r="J232" s="416"/>
      <c r="K232" s="416"/>
      <c r="L232" s="416"/>
      <c r="M232" s="332"/>
      <c r="O232" s="415" t="str">
        <f>O231&amp;" - Janurary"</f>
        <v>BRISBANE - Janurary</v>
      </c>
      <c r="P232" s="415"/>
      <c r="Q232" s="415"/>
      <c r="R232" s="415"/>
      <c r="S232" s="415"/>
      <c r="T232" s="415"/>
      <c r="V232" s="415" t="str">
        <f>O231&amp;" - February"</f>
        <v>BRISBANE - February</v>
      </c>
      <c r="W232" s="415"/>
      <c r="X232" s="415"/>
      <c r="Y232" s="415"/>
      <c r="Z232" s="415"/>
      <c r="AA232" s="415"/>
      <c r="AC232" s="415" t="str">
        <f>O231&amp;" - March"</f>
        <v>BRISBANE - March</v>
      </c>
      <c r="AD232" s="415"/>
      <c r="AE232" s="415"/>
      <c r="AF232" s="415"/>
      <c r="AG232" s="415"/>
      <c r="AH232" s="415"/>
      <c r="AJ232" s="415" t="str">
        <f>O231&amp;" - April"</f>
        <v>BRISBANE - April</v>
      </c>
      <c r="AK232" s="415"/>
      <c r="AL232" s="415"/>
      <c r="AM232" s="415"/>
      <c r="AN232" s="415"/>
      <c r="AO232" s="415"/>
      <c r="AQ232" s="415" t="str">
        <f>O231&amp;" - May"</f>
        <v>BRISBANE - May</v>
      </c>
      <c r="AR232" s="415"/>
      <c r="AS232" s="415"/>
      <c r="AT232" s="415"/>
      <c r="AU232" s="415"/>
      <c r="AV232" s="415"/>
      <c r="AX232" s="415" t="str">
        <f>O231&amp;" - June"</f>
        <v>BRISBANE - June</v>
      </c>
      <c r="AY232" s="415"/>
      <c r="AZ232" s="415"/>
      <c r="BA232" s="415"/>
      <c r="BB232" s="415"/>
      <c r="BC232" s="415"/>
      <c r="BE232" s="415" t="str">
        <f>O231&amp;" - July"</f>
        <v>BRISBANE - July</v>
      </c>
      <c r="BF232" s="415"/>
      <c r="BG232" s="415"/>
      <c r="BH232" s="415"/>
      <c r="BI232" s="415"/>
      <c r="BJ232" s="415"/>
      <c r="BL232" s="415" t="str">
        <f>O231&amp;" - August"</f>
        <v>BRISBANE - August</v>
      </c>
      <c r="BM232" s="415"/>
      <c r="BN232" s="415"/>
      <c r="BO232" s="415"/>
      <c r="BP232" s="415"/>
      <c r="BQ232" s="415"/>
      <c r="BS232" s="415" t="str">
        <f>O231&amp;" - September"</f>
        <v>BRISBANE - September</v>
      </c>
      <c r="BT232" s="415"/>
      <c r="BU232" s="415"/>
      <c r="BV232" s="415"/>
      <c r="BW232" s="415"/>
      <c r="BX232" s="415"/>
      <c r="BZ232" s="415" t="str">
        <f>O231&amp;" - October"</f>
        <v>BRISBANE - October</v>
      </c>
      <c r="CA232" s="415"/>
      <c r="CB232" s="415"/>
      <c r="CC232" s="415"/>
      <c r="CD232" s="415"/>
      <c r="CE232" s="415"/>
      <c r="CG232" s="415" t="str">
        <f>O231&amp;" - November"</f>
        <v>BRISBANE - November</v>
      </c>
      <c r="CH232" s="415"/>
      <c r="CI232" s="415"/>
      <c r="CJ232" s="415"/>
      <c r="CK232" s="415"/>
      <c r="CL232" s="415"/>
      <c r="CN232" s="415" t="str">
        <f>O231&amp;" - December"</f>
        <v>BRISBANE - December</v>
      </c>
      <c r="CO232" s="415"/>
      <c r="CP232" s="415"/>
      <c r="CQ232" s="415"/>
      <c r="CR232" s="415"/>
      <c r="CS232" s="415"/>
    </row>
    <row r="233" spans="1:97" x14ac:dyDescent="0.25">
      <c r="C233" s="416"/>
      <c r="D233" s="333">
        <v>0</v>
      </c>
      <c r="E233" s="333">
        <v>10</v>
      </c>
      <c r="F233" s="333">
        <v>20</v>
      </c>
      <c r="G233" s="333">
        <v>30</v>
      </c>
      <c r="H233" s="333">
        <v>40</v>
      </c>
      <c r="I233" s="333">
        <v>50</v>
      </c>
      <c r="J233" s="333">
        <v>60</v>
      </c>
      <c r="K233" s="333">
        <v>70</v>
      </c>
      <c r="L233" s="333">
        <v>80</v>
      </c>
      <c r="M233" s="333">
        <v>90</v>
      </c>
      <c r="O233" s="416" t="s">
        <v>221</v>
      </c>
      <c r="P233" s="416" t="s">
        <v>222</v>
      </c>
      <c r="Q233" s="416"/>
      <c r="R233" s="416"/>
      <c r="S233" s="416"/>
      <c r="T233" s="416"/>
      <c r="V233" s="416" t="s">
        <v>221</v>
      </c>
      <c r="W233" s="416" t="s">
        <v>222</v>
      </c>
      <c r="X233" s="416"/>
      <c r="Y233" s="416"/>
      <c r="Z233" s="416"/>
      <c r="AA233" s="416"/>
      <c r="AC233" s="416" t="s">
        <v>221</v>
      </c>
      <c r="AD233" s="416" t="s">
        <v>222</v>
      </c>
      <c r="AE233" s="416"/>
      <c r="AF233" s="416"/>
      <c r="AG233" s="416"/>
      <c r="AH233" s="416"/>
      <c r="AJ233" s="416" t="s">
        <v>221</v>
      </c>
      <c r="AK233" s="416" t="s">
        <v>222</v>
      </c>
      <c r="AL233" s="416"/>
      <c r="AM233" s="416"/>
      <c r="AN233" s="416"/>
      <c r="AO233" s="416"/>
      <c r="AQ233" s="416" t="s">
        <v>221</v>
      </c>
      <c r="AR233" s="416" t="s">
        <v>222</v>
      </c>
      <c r="AS233" s="416"/>
      <c r="AT233" s="416"/>
      <c r="AU233" s="416"/>
      <c r="AV233" s="416"/>
      <c r="AX233" s="416" t="s">
        <v>221</v>
      </c>
      <c r="AY233" s="416" t="s">
        <v>222</v>
      </c>
      <c r="AZ233" s="416"/>
      <c r="BA233" s="416"/>
      <c r="BB233" s="416"/>
      <c r="BC233" s="416"/>
      <c r="BE233" s="416" t="s">
        <v>221</v>
      </c>
      <c r="BF233" s="416" t="s">
        <v>222</v>
      </c>
      <c r="BG233" s="416"/>
      <c r="BH233" s="416"/>
      <c r="BI233" s="416"/>
      <c r="BJ233" s="416"/>
      <c r="BL233" s="416" t="s">
        <v>221</v>
      </c>
      <c r="BM233" s="416" t="s">
        <v>222</v>
      </c>
      <c r="BN233" s="416"/>
      <c r="BO233" s="416"/>
      <c r="BP233" s="416"/>
      <c r="BQ233" s="416"/>
      <c r="BS233" s="416" t="s">
        <v>221</v>
      </c>
      <c r="BT233" s="416" t="s">
        <v>222</v>
      </c>
      <c r="BU233" s="416"/>
      <c r="BV233" s="416"/>
      <c r="BW233" s="416"/>
      <c r="BX233" s="416"/>
      <c r="BZ233" s="416" t="s">
        <v>221</v>
      </c>
      <c r="CA233" s="416" t="s">
        <v>222</v>
      </c>
      <c r="CB233" s="416"/>
      <c r="CC233" s="416"/>
      <c r="CD233" s="416"/>
      <c r="CE233" s="416"/>
      <c r="CG233" s="416" t="s">
        <v>221</v>
      </c>
      <c r="CH233" s="416" t="s">
        <v>222</v>
      </c>
      <c r="CI233" s="416"/>
      <c r="CJ233" s="416"/>
      <c r="CK233" s="416"/>
      <c r="CL233" s="416"/>
      <c r="CN233" s="416" t="s">
        <v>221</v>
      </c>
      <c r="CO233" s="416" t="s">
        <v>222</v>
      </c>
      <c r="CP233" s="416"/>
      <c r="CQ233" s="416"/>
      <c r="CR233" s="416"/>
      <c r="CS233" s="416"/>
    </row>
    <row r="234" spans="1:97" x14ac:dyDescent="0.25">
      <c r="C234" s="333">
        <v>0</v>
      </c>
      <c r="D234" s="334">
        <v>0.9</v>
      </c>
      <c r="E234" s="334">
        <v>0.95</v>
      </c>
      <c r="F234" s="334">
        <v>0.99</v>
      </c>
      <c r="G234" s="335">
        <v>1</v>
      </c>
      <c r="H234" s="334">
        <v>0.98</v>
      </c>
      <c r="I234" s="334">
        <v>0.94</v>
      </c>
      <c r="J234" s="334">
        <v>0.88</v>
      </c>
      <c r="K234" s="334">
        <v>0.8</v>
      </c>
      <c r="L234" s="334">
        <v>0.7</v>
      </c>
      <c r="M234" s="334">
        <v>0.59</v>
      </c>
      <c r="O234" s="416"/>
      <c r="P234" s="333">
        <v>0</v>
      </c>
      <c r="Q234" s="333">
        <v>10</v>
      </c>
      <c r="R234" s="333">
        <v>20</v>
      </c>
      <c r="S234" s="333">
        <v>30</v>
      </c>
      <c r="T234" s="333">
        <v>40</v>
      </c>
      <c r="V234" s="416"/>
      <c r="W234" s="333">
        <v>0</v>
      </c>
      <c r="X234" s="333">
        <v>10</v>
      </c>
      <c r="Y234" s="333">
        <v>20</v>
      </c>
      <c r="Z234" s="333">
        <v>30</v>
      </c>
      <c r="AA234" s="333">
        <v>40</v>
      </c>
      <c r="AC234" s="416"/>
      <c r="AD234" s="333">
        <v>0</v>
      </c>
      <c r="AE234" s="333">
        <v>10</v>
      </c>
      <c r="AF234" s="333">
        <v>20</v>
      </c>
      <c r="AG234" s="333">
        <v>30</v>
      </c>
      <c r="AH234" s="333">
        <v>40</v>
      </c>
      <c r="AJ234" s="416"/>
      <c r="AK234" s="333">
        <v>0</v>
      </c>
      <c r="AL234" s="333">
        <v>10</v>
      </c>
      <c r="AM234" s="333">
        <v>20</v>
      </c>
      <c r="AN234" s="333">
        <v>30</v>
      </c>
      <c r="AO234" s="333">
        <v>40</v>
      </c>
      <c r="AQ234" s="416"/>
      <c r="AR234" s="333">
        <v>0</v>
      </c>
      <c r="AS234" s="333">
        <v>10</v>
      </c>
      <c r="AT234" s="333">
        <v>20</v>
      </c>
      <c r="AU234" s="333">
        <v>30</v>
      </c>
      <c r="AV234" s="333">
        <v>40</v>
      </c>
      <c r="AX234" s="416"/>
      <c r="AY234" s="333">
        <v>0</v>
      </c>
      <c r="AZ234" s="333">
        <v>10</v>
      </c>
      <c r="BA234" s="333">
        <v>20</v>
      </c>
      <c r="BB234" s="333">
        <v>30</v>
      </c>
      <c r="BC234" s="333">
        <v>40</v>
      </c>
      <c r="BE234" s="416"/>
      <c r="BF234" s="333">
        <v>0</v>
      </c>
      <c r="BG234" s="333">
        <v>10</v>
      </c>
      <c r="BH234" s="333">
        <v>20</v>
      </c>
      <c r="BI234" s="333">
        <v>30</v>
      </c>
      <c r="BJ234" s="333">
        <v>40</v>
      </c>
      <c r="BL234" s="416"/>
      <c r="BM234" s="333">
        <v>0</v>
      </c>
      <c r="BN234" s="333">
        <v>10</v>
      </c>
      <c r="BO234" s="333">
        <v>20</v>
      </c>
      <c r="BP234" s="333">
        <v>30</v>
      </c>
      <c r="BQ234" s="333">
        <v>40</v>
      </c>
      <c r="BS234" s="416"/>
      <c r="BT234" s="333">
        <v>0</v>
      </c>
      <c r="BU234" s="333">
        <v>10</v>
      </c>
      <c r="BV234" s="333">
        <v>20</v>
      </c>
      <c r="BW234" s="333">
        <v>30</v>
      </c>
      <c r="BX234" s="333">
        <v>40</v>
      </c>
      <c r="BZ234" s="416"/>
      <c r="CA234" s="333">
        <v>0</v>
      </c>
      <c r="CB234" s="333">
        <v>10</v>
      </c>
      <c r="CC234" s="333">
        <v>20</v>
      </c>
      <c r="CD234" s="333">
        <v>30</v>
      </c>
      <c r="CE234" s="333">
        <v>40</v>
      </c>
      <c r="CG234" s="416"/>
      <c r="CH234" s="333">
        <v>0</v>
      </c>
      <c r="CI234" s="333">
        <v>10</v>
      </c>
      <c r="CJ234" s="333">
        <v>20</v>
      </c>
      <c r="CK234" s="333">
        <v>30</v>
      </c>
      <c r="CL234" s="333">
        <v>40</v>
      </c>
      <c r="CN234" s="416"/>
      <c r="CO234" s="333">
        <v>0</v>
      </c>
      <c r="CP234" s="333">
        <v>10</v>
      </c>
      <c r="CQ234" s="333">
        <v>20</v>
      </c>
      <c r="CR234" s="333">
        <v>30</v>
      </c>
      <c r="CS234" s="333">
        <v>40</v>
      </c>
    </row>
    <row r="235" spans="1:97" x14ac:dyDescent="0.25">
      <c r="C235" s="333">
        <v>10</v>
      </c>
      <c r="D235" s="334">
        <v>0.9</v>
      </c>
      <c r="E235" s="334">
        <v>0.95</v>
      </c>
      <c r="F235" s="334">
        <v>0.99</v>
      </c>
      <c r="G235" s="335">
        <v>1</v>
      </c>
      <c r="H235" s="334">
        <v>0.98</v>
      </c>
      <c r="I235" s="334">
        <v>0.94</v>
      </c>
      <c r="J235" s="334">
        <v>0.88</v>
      </c>
      <c r="K235" s="334">
        <v>0.8</v>
      </c>
      <c r="L235" s="334">
        <v>0.71</v>
      </c>
      <c r="M235" s="334">
        <v>0.6</v>
      </c>
      <c r="O235" s="333">
        <v>270</v>
      </c>
      <c r="P235" s="334">
        <v>1</v>
      </c>
      <c r="Q235" s="334">
        <v>1</v>
      </c>
      <c r="R235" s="334">
        <v>0.99</v>
      </c>
      <c r="S235" s="334">
        <v>0.97</v>
      </c>
      <c r="T235" s="334">
        <v>0.92</v>
      </c>
      <c r="V235" s="333">
        <v>270</v>
      </c>
      <c r="W235" s="334">
        <v>1</v>
      </c>
      <c r="X235" s="334">
        <v>1</v>
      </c>
      <c r="Y235" s="334">
        <v>0.99</v>
      </c>
      <c r="Z235" s="334">
        <v>0.97</v>
      </c>
      <c r="AA235" s="334">
        <v>0.93</v>
      </c>
      <c r="AC235" s="333">
        <v>270</v>
      </c>
      <c r="AD235" s="334">
        <v>1</v>
      </c>
      <c r="AE235" s="334">
        <v>1.01</v>
      </c>
      <c r="AF235" s="334">
        <v>1</v>
      </c>
      <c r="AG235" s="334">
        <v>0.97</v>
      </c>
      <c r="AH235" s="334">
        <v>0.94</v>
      </c>
      <c r="AJ235" s="333">
        <v>270</v>
      </c>
      <c r="AK235" s="334">
        <v>1</v>
      </c>
      <c r="AL235" s="334">
        <v>1</v>
      </c>
      <c r="AM235" s="334">
        <v>0.99</v>
      </c>
      <c r="AN235" s="334">
        <v>0.98</v>
      </c>
      <c r="AO235" s="334">
        <v>0.94</v>
      </c>
      <c r="AQ235" s="333">
        <v>270</v>
      </c>
      <c r="AR235" s="334">
        <v>1</v>
      </c>
      <c r="AS235" s="334">
        <v>1.01</v>
      </c>
      <c r="AT235" s="334">
        <v>1.01</v>
      </c>
      <c r="AU235" s="334">
        <v>0.99</v>
      </c>
      <c r="AV235" s="334">
        <v>0.96</v>
      </c>
      <c r="AX235" s="333">
        <v>270</v>
      </c>
      <c r="AY235" s="334">
        <v>1</v>
      </c>
      <c r="AZ235" s="334">
        <v>1.02</v>
      </c>
      <c r="BA235" s="334">
        <v>1.01</v>
      </c>
      <c r="BB235" s="334">
        <v>1</v>
      </c>
      <c r="BC235" s="334">
        <v>0.98</v>
      </c>
      <c r="BE235" s="333">
        <v>270</v>
      </c>
      <c r="BF235" s="334">
        <v>1</v>
      </c>
      <c r="BG235" s="334">
        <v>1.01</v>
      </c>
      <c r="BH235" s="334">
        <v>1.01</v>
      </c>
      <c r="BI235" s="334">
        <v>0.99</v>
      </c>
      <c r="BJ235" s="334">
        <v>0.97</v>
      </c>
      <c r="BL235" s="333">
        <v>270</v>
      </c>
      <c r="BM235" s="334">
        <v>1</v>
      </c>
      <c r="BN235" s="334">
        <v>1.01</v>
      </c>
      <c r="BO235" s="334">
        <v>1</v>
      </c>
      <c r="BP235" s="334">
        <v>0.98</v>
      </c>
      <c r="BQ235" s="334">
        <v>0.95</v>
      </c>
      <c r="BS235" s="333">
        <v>270</v>
      </c>
      <c r="BT235" s="334">
        <v>1</v>
      </c>
      <c r="BU235" s="334">
        <v>1.01</v>
      </c>
      <c r="BV235" s="334">
        <v>1</v>
      </c>
      <c r="BW235" s="334">
        <v>0.98</v>
      </c>
      <c r="BX235" s="334">
        <v>0.94</v>
      </c>
      <c r="BZ235" s="333">
        <v>270</v>
      </c>
      <c r="CA235" s="334">
        <v>1</v>
      </c>
      <c r="CB235" s="334">
        <v>1</v>
      </c>
      <c r="CC235" s="334">
        <v>1</v>
      </c>
      <c r="CD235" s="334">
        <v>0.97</v>
      </c>
      <c r="CE235" s="334">
        <v>0.93</v>
      </c>
      <c r="CG235" s="333">
        <v>270</v>
      </c>
      <c r="CH235" s="334">
        <v>1</v>
      </c>
      <c r="CI235" s="334">
        <v>1.01</v>
      </c>
      <c r="CJ235" s="334">
        <v>0.99</v>
      </c>
      <c r="CK235" s="334">
        <v>0.96</v>
      </c>
      <c r="CL235" s="334">
        <v>0.92</v>
      </c>
      <c r="CN235" s="333">
        <v>270</v>
      </c>
      <c r="CO235" s="334">
        <v>1</v>
      </c>
      <c r="CP235" s="334">
        <v>1</v>
      </c>
      <c r="CQ235" s="334">
        <v>0.99</v>
      </c>
      <c r="CR235" s="334">
        <v>0.96</v>
      </c>
      <c r="CS235" s="334">
        <v>0.91</v>
      </c>
    </row>
    <row r="236" spans="1:97" x14ac:dyDescent="0.25">
      <c r="C236" s="333">
        <v>20</v>
      </c>
      <c r="D236" s="334">
        <v>0.9</v>
      </c>
      <c r="E236" s="334">
        <v>0.95</v>
      </c>
      <c r="F236" s="334">
        <v>0.98</v>
      </c>
      <c r="G236" s="335">
        <v>0.99</v>
      </c>
      <c r="H236" s="334">
        <v>0.98</v>
      </c>
      <c r="I236" s="334">
        <v>0.94</v>
      </c>
      <c r="J236" s="334">
        <v>0.88</v>
      </c>
      <c r="K236" s="334">
        <v>0.8</v>
      </c>
      <c r="L236" s="334">
        <v>0.71</v>
      </c>
      <c r="M236" s="334">
        <v>0.61</v>
      </c>
      <c r="O236" s="333">
        <v>280</v>
      </c>
      <c r="P236" s="334">
        <v>1</v>
      </c>
      <c r="Q236" s="334">
        <v>1</v>
      </c>
      <c r="R236" s="334">
        <v>0.99</v>
      </c>
      <c r="S236" s="334">
        <v>0.97</v>
      </c>
      <c r="T236" s="334">
        <v>0.92</v>
      </c>
      <c r="V236" s="333">
        <v>280</v>
      </c>
      <c r="W236" s="334">
        <v>1</v>
      </c>
      <c r="X236" s="334">
        <v>1.01</v>
      </c>
      <c r="Y236" s="334">
        <v>1</v>
      </c>
      <c r="Z236" s="334">
        <v>0.97</v>
      </c>
      <c r="AA236" s="334">
        <v>0.94</v>
      </c>
      <c r="AC236" s="333">
        <v>280</v>
      </c>
      <c r="AD236" s="334">
        <v>1</v>
      </c>
      <c r="AE236" s="334">
        <v>1.02</v>
      </c>
      <c r="AF236" s="334">
        <v>1.02</v>
      </c>
      <c r="AG236" s="334">
        <v>1</v>
      </c>
      <c r="AH236" s="334">
        <v>0.98</v>
      </c>
      <c r="AJ236" s="333">
        <v>280</v>
      </c>
      <c r="AK236" s="334">
        <v>1</v>
      </c>
      <c r="AL236" s="334">
        <v>1.02</v>
      </c>
      <c r="AM236" s="334">
        <v>1.03</v>
      </c>
      <c r="AN236" s="334">
        <v>1.02</v>
      </c>
      <c r="AO236" s="334">
        <v>1.01</v>
      </c>
      <c r="AQ236" s="333">
        <v>280</v>
      </c>
      <c r="AR236" s="334">
        <v>1</v>
      </c>
      <c r="AS236" s="334">
        <v>1.04</v>
      </c>
      <c r="AT236" s="334">
        <v>1.06</v>
      </c>
      <c r="AU236" s="334">
        <v>1.07</v>
      </c>
      <c r="AV236" s="334">
        <v>1.05</v>
      </c>
      <c r="AX236" s="333">
        <v>280</v>
      </c>
      <c r="AY236" s="334">
        <v>1</v>
      </c>
      <c r="AZ236" s="334">
        <v>1.05</v>
      </c>
      <c r="BA236" s="334">
        <v>1.07</v>
      </c>
      <c r="BB236" s="334">
        <v>1.0900000000000001</v>
      </c>
      <c r="BC236" s="334">
        <v>1.08</v>
      </c>
      <c r="BE236" s="333">
        <v>280</v>
      </c>
      <c r="BF236" s="334">
        <v>1</v>
      </c>
      <c r="BG236" s="334">
        <v>1.04</v>
      </c>
      <c r="BH236" s="334">
        <v>1.06</v>
      </c>
      <c r="BI236" s="334">
        <v>1.08</v>
      </c>
      <c r="BJ236" s="334">
        <v>1.06</v>
      </c>
      <c r="BL236" s="333">
        <v>280</v>
      </c>
      <c r="BM236" s="334">
        <v>1</v>
      </c>
      <c r="BN236" s="334">
        <v>1.03</v>
      </c>
      <c r="BO236" s="334">
        <v>1.05</v>
      </c>
      <c r="BP236" s="334">
        <v>1.05</v>
      </c>
      <c r="BQ236" s="334">
        <v>1.03</v>
      </c>
      <c r="BS236" s="333">
        <v>280</v>
      </c>
      <c r="BT236" s="334">
        <v>1</v>
      </c>
      <c r="BU236" s="334">
        <v>1.02</v>
      </c>
      <c r="BV236" s="334">
        <v>1.03</v>
      </c>
      <c r="BW236" s="334">
        <v>1.01</v>
      </c>
      <c r="BX236" s="334">
        <v>1</v>
      </c>
      <c r="BZ236" s="333">
        <v>280</v>
      </c>
      <c r="CA236" s="334">
        <v>1</v>
      </c>
      <c r="CB236" s="334">
        <v>1.01</v>
      </c>
      <c r="CC236" s="334">
        <v>1.01</v>
      </c>
      <c r="CD236" s="334">
        <v>0.99</v>
      </c>
      <c r="CE236" s="334">
        <v>0.95</v>
      </c>
      <c r="CG236" s="333">
        <v>280</v>
      </c>
      <c r="CH236" s="334">
        <v>1</v>
      </c>
      <c r="CI236" s="334">
        <v>1.01</v>
      </c>
      <c r="CJ236" s="334">
        <v>1</v>
      </c>
      <c r="CK236" s="334">
        <v>0.96</v>
      </c>
      <c r="CL236" s="334">
        <v>0.93</v>
      </c>
      <c r="CN236" s="333">
        <v>280</v>
      </c>
      <c r="CO236" s="334">
        <v>1</v>
      </c>
      <c r="CP236" s="334">
        <v>1</v>
      </c>
      <c r="CQ236" s="334">
        <v>0.98</v>
      </c>
      <c r="CR236" s="334">
        <v>0.95</v>
      </c>
      <c r="CS236" s="334">
        <v>0.91</v>
      </c>
    </row>
    <row r="237" spans="1:97" x14ac:dyDescent="0.25">
      <c r="C237" s="333">
        <v>30</v>
      </c>
      <c r="D237" s="334">
        <v>0.9</v>
      </c>
      <c r="E237" s="334">
        <v>0.95</v>
      </c>
      <c r="F237" s="334">
        <v>0.98</v>
      </c>
      <c r="G237" s="335">
        <v>0.98</v>
      </c>
      <c r="H237" s="334">
        <v>0.97</v>
      </c>
      <c r="I237" s="334">
        <v>0.93</v>
      </c>
      <c r="J237" s="334">
        <v>0.87</v>
      </c>
      <c r="K237" s="334">
        <v>0.8</v>
      </c>
      <c r="L237" s="334">
        <v>0.71</v>
      </c>
      <c r="M237" s="334">
        <v>0.61</v>
      </c>
      <c r="O237" s="333">
        <v>290</v>
      </c>
      <c r="P237" s="334">
        <v>1</v>
      </c>
      <c r="Q237" s="334">
        <v>1</v>
      </c>
      <c r="R237" s="334">
        <v>0.99</v>
      </c>
      <c r="S237" s="334">
        <v>0.96</v>
      </c>
      <c r="T237" s="334">
        <v>0.92</v>
      </c>
      <c r="V237" s="333">
        <v>290</v>
      </c>
      <c r="W237" s="334">
        <v>1</v>
      </c>
      <c r="X237" s="334">
        <v>1.01</v>
      </c>
      <c r="Y237" s="334">
        <v>1</v>
      </c>
      <c r="Z237" s="334">
        <v>0.98</v>
      </c>
      <c r="AA237" s="334">
        <v>0.95</v>
      </c>
      <c r="AC237" s="333">
        <v>290</v>
      </c>
      <c r="AD237" s="334">
        <v>1</v>
      </c>
      <c r="AE237" s="334">
        <v>1.03</v>
      </c>
      <c r="AF237" s="334">
        <v>1.04</v>
      </c>
      <c r="AG237" s="334">
        <v>1.03</v>
      </c>
      <c r="AH237" s="334">
        <v>1</v>
      </c>
      <c r="AJ237" s="333">
        <v>290</v>
      </c>
      <c r="AK237" s="334">
        <v>1</v>
      </c>
      <c r="AL237" s="334">
        <v>1.04</v>
      </c>
      <c r="AM237" s="334">
        <v>1.07</v>
      </c>
      <c r="AN237" s="334">
        <v>1.07</v>
      </c>
      <c r="AO237" s="334">
        <v>1.07</v>
      </c>
      <c r="AQ237" s="333">
        <v>290</v>
      </c>
      <c r="AR237" s="334">
        <v>1</v>
      </c>
      <c r="AS237" s="334">
        <v>1.07</v>
      </c>
      <c r="AT237" s="334">
        <v>1.1100000000000001</v>
      </c>
      <c r="AU237" s="334">
        <v>1.1299999999999999</v>
      </c>
      <c r="AV237" s="334">
        <v>1.1399999999999999</v>
      </c>
      <c r="AX237" s="333">
        <v>290</v>
      </c>
      <c r="AY237" s="334">
        <v>1</v>
      </c>
      <c r="AZ237" s="334">
        <v>1.08</v>
      </c>
      <c r="BA237" s="334">
        <v>1.1299999999999999</v>
      </c>
      <c r="BB237" s="334">
        <v>1.17</v>
      </c>
      <c r="BC237" s="334">
        <v>1.19</v>
      </c>
      <c r="BE237" s="333">
        <v>290</v>
      </c>
      <c r="BF237" s="334">
        <v>1</v>
      </c>
      <c r="BG237" s="334">
        <v>1.07</v>
      </c>
      <c r="BH237" s="334">
        <v>1.1299999999999999</v>
      </c>
      <c r="BI237" s="334">
        <v>1.1599999999999999</v>
      </c>
      <c r="BJ237" s="334">
        <v>1.1599999999999999</v>
      </c>
      <c r="BL237" s="333">
        <v>290</v>
      </c>
      <c r="BM237" s="334">
        <v>1</v>
      </c>
      <c r="BN237" s="334">
        <v>1.05</v>
      </c>
      <c r="BO237" s="334">
        <v>1.0900000000000001</v>
      </c>
      <c r="BP237" s="334">
        <v>1.1000000000000001</v>
      </c>
      <c r="BQ237" s="334">
        <v>1.1000000000000001</v>
      </c>
      <c r="BS237" s="333">
        <v>290</v>
      </c>
      <c r="BT237" s="334">
        <v>1</v>
      </c>
      <c r="BU237" s="334">
        <v>1.04</v>
      </c>
      <c r="BV237" s="334">
        <v>1.05</v>
      </c>
      <c r="BW237" s="334">
        <v>1.06</v>
      </c>
      <c r="BX237" s="334">
        <v>1.04</v>
      </c>
      <c r="BZ237" s="333">
        <v>290</v>
      </c>
      <c r="CA237" s="334">
        <v>1</v>
      </c>
      <c r="CB237" s="334">
        <v>1.02</v>
      </c>
      <c r="CC237" s="334">
        <v>1.02</v>
      </c>
      <c r="CD237" s="334">
        <v>1</v>
      </c>
      <c r="CE237" s="334">
        <v>0.97</v>
      </c>
      <c r="CG237" s="333">
        <v>290</v>
      </c>
      <c r="CH237" s="334">
        <v>1</v>
      </c>
      <c r="CI237" s="334">
        <v>1.01</v>
      </c>
      <c r="CJ237" s="334">
        <v>1</v>
      </c>
      <c r="CK237" s="334">
        <v>0.96</v>
      </c>
      <c r="CL237" s="334">
        <v>0.93</v>
      </c>
      <c r="CN237" s="333">
        <v>290</v>
      </c>
      <c r="CO237" s="334">
        <v>1</v>
      </c>
      <c r="CP237" s="334">
        <v>1</v>
      </c>
      <c r="CQ237" s="334">
        <v>0.98</v>
      </c>
      <c r="CR237" s="334">
        <v>0.95</v>
      </c>
      <c r="CS237" s="334">
        <v>0.9</v>
      </c>
    </row>
    <row r="238" spans="1:97" x14ac:dyDescent="0.25">
      <c r="C238" s="333">
        <v>40</v>
      </c>
      <c r="D238" s="334">
        <v>0.9</v>
      </c>
      <c r="E238" s="334">
        <v>0.95</v>
      </c>
      <c r="F238" s="334">
        <v>0.97</v>
      </c>
      <c r="G238" s="335">
        <v>0.97</v>
      </c>
      <c r="H238" s="334">
        <v>0.95</v>
      </c>
      <c r="I238" s="334">
        <v>0.92</v>
      </c>
      <c r="J238" s="334">
        <v>0.86</v>
      </c>
      <c r="K238" s="334">
        <v>0.79</v>
      </c>
      <c r="L238" s="334">
        <v>0.71</v>
      </c>
      <c r="M238" s="334">
        <v>0.61</v>
      </c>
      <c r="O238" s="333">
        <v>300</v>
      </c>
      <c r="P238" s="334">
        <v>1</v>
      </c>
      <c r="Q238" s="334">
        <v>1</v>
      </c>
      <c r="R238" s="335">
        <v>0.99</v>
      </c>
      <c r="S238" s="334">
        <v>0.96</v>
      </c>
      <c r="T238" s="334">
        <v>0.91</v>
      </c>
      <c r="V238" s="333">
        <v>300</v>
      </c>
      <c r="W238" s="334">
        <v>1</v>
      </c>
      <c r="X238" s="334">
        <v>1.01</v>
      </c>
      <c r="Y238" s="335">
        <v>1.01</v>
      </c>
      <c r="Z238" s="334">
        <v>0.99</v>
      </c>
      <c r="AA238" s="334">
        <v>0.95</v>
      </c>
      <c r="AC238" s="333">
        <v>300</v>
      </c>
      <c r="AD238" s="334">
        <v>1</v>
      </c>
      <c r="AE238" s="334">
        <v>1.04</v>
      </c>
      <c r="AF238" s="335">
        <v>1.06</v>
      </c>
      <c r="AG238" s="334">
        <v>1.05</v>
      </c>
      <c r="AH238" s="334">
        <v>1.03</v>
      </c>
      <c r="AJ238" s="333">
        <v>300</v>
      </c>
      <c r="AK238" s="334">
        <v>1</v>
      </c>
      <c r="AL238" s="334">
        <v>1.06</v>
      </c>
      <c r="AM238" s="335">
        <v>1.1000000000000001</v>
      </c>
      <c r="AN238" s="334">
        <v>1.1200000000000001</v>
      </c>
      <c r="AO238" s="334">
        <v>1.1200000000000001</v>
      </c>
      <c r="AQ238" s="333">
        <v>300</v>
      </c>
      <c r="AR238" s="334">
        <v>1</v>
      </c>
      <c r="AS238" s="334">
        <v>1.0900000000000001</v>
      </c>
      <c r="AT238" s="335">
        <v>1.1599999999999999</v>
      </c>
      <c r="AU238" s="334">
        <v>1.21</v>
      </c>
      <c r="AV238" s="334">
        <v>1.23</v>
      </c>
      <c r="AX238" s="333">
        <v>300</v>
      </c>
      <c r="AY238" s="334">
        <v>1</v>
      </c>
      <c r="AZ238" s="334">
        <v>1.1100000000000001</v>
      </c>
      <c r="BA238" s="335">
        <v>1.2</v>
      </c>
      <c r="BB238" s="334">
        <v>1.25</v>
      </c>
      <c r="BC238" s="334">
        <v>1.28</v>
      </c>
      <c r="BE238" s="333">
        <v>300</v>
      </c>
      <c r="BF238" s="334">
        <v>1</v>
      </c>
      <c r="BG238" s="334">
        <v>1.1000000000000001</v>
      </c>
      <c r="BH238" s="335">
        <v>1.18</v>
      </c>
      <c r="BI238" s="334">
        <v>1.23</v>
      </c>
      <c r="BJ238" s="334">
        <v>1.26</v>
      </c>
      <c r="BL238" s="333">
        <v>300</v>
      </c>
      <c r="BM238" s="334">
        <v>1</v>
      </c>
      <c r="BN238" s="334">
        <v>1.08</v>
      </c>
      <c r="BO238" s="335">
        <v>1.1299999999999999</v>
      </c>
      <c r="BP238" s="334">
        <v>1.1599999999999999</v>
      </c>
      <c r="BQ238" s="334">
        <v>1.17</v>
      </c>
      <c r="BS238" s="333">
        <v>300</v>
      </c>
      <c r="BT238" s="334">
        <v>1</v>
      </c>
      <c r="BU238" s="334">
        <v>1.05</v>
      </c>
      <c r="BV238" s="335">
        <v>1.08</v>
      </c>
      <c r="BW238" s="334">
        <v>1.0900000000000001</v>
      </c>
      <c r="BX238" s="334">
        <v>1.07</v>
      </c>
      <c r="BZ238" s="333">
        <v>300</v>
      </c>
      <c r="CA238" s="334">
        <v>1</v>
      </c>
      <c r="CB238" s="334">
        <v>1.03</v>
      </c>
      <c r="CC238" s="335">
        <v>1.03</v>
      </c>
      <c r="CD238" s="334">
        <v>1.02</v>
      </c>
      <c r="CE238" s="334">
        <v>0.99</v>
      </c>
      <c r="CG238" s="333">
        <v>300</v>
      </c>
      <c r="CH238" s="334">
        <v>1</v>
      </c>
      <c r="CI238" s="334">
        <v>1.01</v>
      </c>
      <c r="CJ238" s="335">
        <v>1</v>
      </c>
      <c r="CK238" s="334">
        <v>0.96</v>
      </c>
      <c r="CL238" s="334">
        <v>0.92</v>
      </c>
      <c r="CN238" s="333">
        <v>300</v>
      </c>
      <c r="CO238" s="334">
        <v>1</v>
      </c>
      <c r="CP238" s="334">
        <v>1</v>
      </c>
      <c r="CQ238" s="335">
        <v>0.98</v>
      </c>
      <c r="CR238" s="334">
        <v>0.94</v>
      </c>
      <c r="CS238" s="334">
        <v>0.89</v>
      </c>
    </row>
    <row r="239" spans="1:97" x14ac:dyDescent="0.25">
      <c r="C239" s="333">
        <v>50</v>
      </c>
      <c r="D239" s="334">
        <v>0.9</v>
      </c>
      <c r="E239" s="334">
        <v>0.94</v>
      </c>
      <c r="F239" s="334">
        <v>0.96</v>
      </c>
      <c r="G239" s="335">
        <v>0.96</v>
      </c>
      <c r="H239" s="334">
        <v>0.93</v>
      </c>
      <c r="I239" s="334">
        <v>0.9</v>
      </c>
      <c r="J239" s="334">
        <v>0.84</v>
      </c>
      <c r="K239" s="334">
        <v>0.78</v>
      </c>
      <c r="L239" s="334">
        <v>0.7</v>
      </c>
      <c r="M239" s="334">
        <v>0.61</v>
      </c>
      <c r="O239" s="333">
        <v>310</v>
      </c>
      <c r="P239" s="334">
        <v>1</v>
      </c>
      <c r="Q239" s="334">
        <v>1</v>
      </c>
      <c r="R239" s="335">
        <v>0.98</v>
      </c>
      <c r="S239" s="334">
        <v>0.95</v>
      </c>
      <c r="T239" s="334">
        <v>0.9</v>
      </c>
      <c r="V239" s="333">
        <v>310</v>
      </c>
      <c r="W239" s="334">
        <v>1</v>
      </c>
      <c r="X239" s="334">
        <v>1.02</v>
      </c>
      <c r="Y239" s="335">
        <v>1.01</v>
      </c>
      <c r="Z239" s="334">
        <v>1</v>
      </c>
      <c r="AA239" s="334">
        <v>0.95</v>
      </c>
      <c r="AC239" s="333">
        <v>310</v>
      </c>
      <c r="AD239" s="334">
        <v>1</v>
      </c>
      <c r="AE239" s="334">
        <v>1.05</v>
      </c>
      <c r="AF239" s="335">
        <v>1.07</v>
      </c>
      <c r="AG239" s="334">
        <v>1.07</v>
      </c>
      <c r="AH239" s="334">
        <v>1.05</v>
      </c>
      <c r="AJ239" s="333">
        <v>310</v>
      </c>
      <c r="AK239" s="334">
        <v>1</v>
      </c>
      <c r="AL239" s="334">
        <v>1.08</v>
      </c>
      <c r="AM239" s="335">
        <v>1.1299999999999999</v>
      </c>
      <c r="AN239" s="334">
        <v>1.1599999999999999</v>
      </c>
      <c r="AO239" s="334">
        <v>1.17</v>
      </c>
      <c r="AQ239" s="333">
        <v>310</v>
      </c>
      <c r="AR239" s="334">
        <v>1</v>
      </c>
      <c r="AS239" s="334">
        <v>1.1100000000000001</v>
      </c>
      <c r="AT239" s="335">
        <v>1.21</v>
      </c>
      <c r="AU239" s="334">
        <v>1.28</v>
      </c>
      <c r="AV239" s="334">
        <v>1.3</v>
      </c>
      <c r="AX239" s="333">
        <v>310</v>
      </c>
      <c r="AY239" s="334">
        <v>1</v>
      </c>
      <c r="AZ239" s="334">
        <v>1.1299999999999999</v>
      </c>
      <c r="BA239" s="335">
        <v>1.24</v>
      </c>
      <c r="BB239" s="334">
        <v>1.33</v>
      </c>
      <c r="BC239" s="334">
        <v>1.38</v>
      </c>
      <c r="BE239" s="333">
        <v>310</v>
      </c>
      <c r="BF239" s="334">
        <v>1</v>
      </c>
      <c r="BG239" s="334">
        <v>1.1299999999999999</v>
      </c>
      <c r="BH239" s="335">
        <v>1.23</v>
      </c>
      <c r="BI239" s="334">
        <v>1.3</v>
      </c>
      <c r="BJ239" s="334">
        <v>1.35</v>
      </c>
      <c r="BL239" s="333">
        <v>310</v>
      </c>
      <c r="BM239" s="334">
        <v>1</v>
      </c>
      <c r="BN239" s="334">
        <v>1.1000000000000001</v>
      </c>
      <c r="BO239" s="335">
        <v>1.17</v>
      </c>
      <c r="BP239" s="334">
        <v>1.22</v>
      </c>
      <c r="BQ239" s="334">
        <v>1.23</v>
      </c>
      <c r="BS239" s="333">
        <v>310</v>
      </c>
      <c r="BT239" s="334">
        <v>1</v>
      </c>
      <c r="BU239" s="334">
        <v>1.06</v>
      </c>
      <c r="BV239" s="335">
        <v>1.1000000000000001</v>
      </c>
      <c r="BW239" s="334">
        <v>1.1200000000000001</v>
      </c>
      <c r="BX239" s="334">
        <v>1.1100000000000001</v>
      </c>
      <c r="BZ239" s="333">
        <v>310</v>
      </c>
      <c r="CA239" s="334">
        <v>1</v>
      </c>
      <c r="CB239" s="334">
        <v>1.03</v>
      </c>
      <c r="CC239" s="335">
        <v>1.04</v>
      </c>
      <c r="CD239" s="334">
        <v>1.03</v>
      </c>
      <c r="CE239" s="334">
        <v>1</v>
      </c>
      <c r="CG239" s="333">
        <v>310</v>
      </c>
      <c r="CH239" s="334">
        <v>1</v>
      </c>
      <c r="CI239" s="334">
        <v>1.01</v>
      </c>
      <c r="CJ239" s="335">
        <v>0.99</v>
      </c>
      <c r="CK239" s="334">
        <v>0.96</v>
      </c>
      <c r="CL239" s="334">
        <v>0.91</v>
      </c>
      <c r="CN239" s="333">
        <v>310</v>
      </c>
      <c r="CO239" s="334">
        <v>1</v>
      </c>
      <c r="CP239" s="334">
        <v>0.99</v>
      </c>
      <c r="CQ239" s="335">
        <v>0.97</v>
      </c>
      <c r="CR239" s="334">
        <v>0.93</v>
      </c>
      <c r="CS239" s="334">
        <v>0.88</v>
      </c>
    </row>
    <row r="240" spans="1:97" x14ac:dyDescent="0.25">
      <c r="C240" s="333">
        <v>60</v>
      </c>
      <c r="D240" s="334">
        <v>0.9</v>
      </c>
      <c r="E240" s="334">
        <v>0.93</v>
      </c>
      <c r="F240" s="334">
        <v>0.94</v>
      </c>
      <c r="G240" s="335">
        <v>0.94</v>
      </c>
      <c r="H240" s="334">
        <v>0.91</v>
      </c>
      <c r="I240" s="334">
        <v>0.88</v>
      </c>
      <c r="J240" s="334">
        <v>0.82</v>
      </c>
      <c r="K240" s="334">
        <v>0.76</v>
      </c>
      <c r="L240" s="334">
        <v>0.69</v>
      </c>
      <c r="M240" s="334">
        <v>0.6</v>
      </c>
      <c r="O240" s="333">
        <v>320</v>
      </c>
      <c r="P240" s="334">
        <v>1</v>
      </c>
      <c r="Q240" s="334">
        <v>1</v>
      </c>
      <c r="R240" s="335">
        <v>0.98</v>
      </c>
      <c r="S240" s="334">
        <v>0.94</v>
      </c>
      <c r="T240" s="334">
        <v>0.89</v>
      </c>
      <c r="V240" s="333">
        <v>320</v>
      </c>
      <c r="W240" s="334">
        <v>1</v>
      </c>
      <c r="X240" s="334">
        <v>1.02</v>
      </c>
      <c r="Y240" s="335">
        <v>1.02</v>
      </c>
      <c r="Z240" s="334">
        <v>1</v>
      </c>
      <c r="AA240" s="334">
        <v>0.96</v>
      </c>
      <c r="AC240" s="333">
        <v>320</v>
      </c>
      <c r="AD240" s="334">
        <v>1</v>
      </c>
      <c r="AE240" s="334">
        <v>1.06</v>
      </c>
      <c r="AF240" s="335">
        <v>1.08</v>
      </c>
      <c r="AG240" s="334">
        <v>1.0900000000000001</v>
      </c>
      <c r="AH240" s="334">
        <v>1.07</v>
      </c>
      <c r="AJ240" s="333">
        <v>320</v>
      </c>
      <c r="AK240" s="334">
        <v>1</v>
      </c>
      <c r="AL240" s="334">
        <v>1.0900000000000001</v>
      </c>
      <c r="AM240" s="335">
        <v>1.1599999999999999</v>
      </c>
      <c r="AN240" s="334">
        <v>1.2</v>
      </c>
      <c r="AO240" s="334">
        <v>1.21</v>
      </c>
      <c r="AQ240" s="333">
        <v>320</v>
      </c>
      <c r="AR240" s="334">
        <v>1</v>
      </c>
      <c r="AS240" s="334">
        <v>1.1399999999999999</v>
      </c>
      <c r="AT240" s="335">
        <v>1.25</v>
      </c>
      <c r="AU240" s="334">
        <v>1.33</v>
      </c>
      <c r="AV240" s="334">
        <v>1.38</v>
      </c>
      <c r="AX240" s="333">
        <v>320</v>
      </c>
      <c r="AY240" s="334">
        <v>1</v>
      </c>
      <c r="AZ240" s="334">
        <v>1.1599999999999999</v>
      </c>
      <c r="BA240" s="335">
        <v>1.29</v>
      </c>
      <c r="BB240" s="334">
        <v>1.39</v>
      </c>
      <c r="BC240" s="334">
        <v>1.45</v>
      </c>
      <c r="BE240" s="333">
        <v>320</v>
      </c>
      <c r="BF240" s="334">
        <v>1</v>
      </c>
      <c r="BG240" s="334">
        <v>1.1499999999999999</v>
      </c>
      <c r="BH240" s="335">
        <v>1.28</v>
      </c>
      <c r="BI240" s="334">
        <v>1.37</v>
      </c>
      <c r="BJ240" s="334">
        <v>1.43</v>
      </c>
      <c r="BL240" s="333">
        <v>320</v>
      </c>
      <c r="BM240" s="334">
        <v>1</v>
      </c>
      <c r="BN240" s="334">
        <v>1.1200000000000001</v>
      </c>
      <c r="BO240" s="335">
        <v>1.2</v>
      </c>
      <c r="BP240" s="334">
        <v>1.26</v>
      </c>
      <c r="BQ240" s="334">
        <v>1.29</v>
      </c>
      <c r="BS240" s="333">
        <v>320</v>
      </c>
      <c r="BT240" s="334">
        <v>1</v>
      </c>
      <c r="BU240" s="334">
        <v>1.07</v>
      </c>
      <c r="BV240" s="335">
        <v>1.1200000000000001</v>
      </c>
      <c r="BW240" s="334">
        <v>1.1399999999999999</v>
      </c>
      <c r="BX240" s="334">
        <v>1.1299999999999999</v>
      </c>
      <c r="BZ240" s="333">
        <v>320</v>
      </c>
      <c r="CA240" s="334">
        <v>1</v>
      </c>
      <c r="CB240" s="334">
        <v>1.03</v>
      </c>
      <c r="CC240" s="335">
        <v>1.05</v>
      </c>
      <c r="CD240" s="334">
        <v>1.03</v>
      </c>
      <c r="CE240" s="334">
        <v>1</v>
      </c>
      <c r="CG240" s="333">
        <v>320</v>
      </c>
      <c r="CH240" s="334">
        <v>1</v>
      </c>
      <c r="CI240" s="334">
        <v>1.01</v>
      </c>
      <c r="CJ240" s="335">
        <v>0.99</v>
      </c>
      <c r="CK240" s="334">
        <v>0.96</v>
      </c>
      <c r="CL240" s="334">
        <v>0.91</v>
      </c>
      <c r="CN240" s="333">
        <v>320</v>
      </c>
      <c r="CO240" s="334">
        <v>1</v>
      </c>
      <c r="CP240" s="334">
        <v>0.99</v>
      </c>
      <c r="CQ240" s="335">
        <v>0.97</v>
      </c>
      <c r="CR240" s="334">
        <v>0.92</v>
      </c>
      <c r="CS240" s="334">
        <v>0.86</v>
      </c>
    </row>
    <row r="241" spans="3:97" x14ac:dyDescent="0.25">
      <c r="C241" s="333">
        <v>70</v>
      </c>
      <c r="D241" s="334">
        <v>0.9</v>
      </c>
      <c r="E241" s="334">
        <v>0.92</v>
      </c>
      <c r="F241" s="334">
        <v>0.93</v>
      </c>
      <c r="G241" s="335">
        <v>0.92</v>
      </c>
      <c r="H241" s="334">
        <v>0.89</v>
      </c>
      <c r="I241" s="334">
        <v>0.85</v>
      </c>
      <c r="J241" s="334">
        <v>0.8</v>
      </c>
      <c r="K241" s="334">
        <v>0.74</v>
      </c>
      <c r="L241" s="334">
        <v>0.67</v>
      </c>
      <c r="M241" s="334">
        <v>0.59</v>
      </c>
      <c r="O241" s="333">
        <v>330</v>
      </c>
      <c r="P241" s="334">
        <v>1</v>
      </c>
      <c r="Q241" s="334">
        <v>1</v>
      </c>
      <c r="R241" s="335">
        <v>0.98</v>
      </c>
      <c r="S241" s="334">
        <v>0.93</v>
      </c>
      <c r="T241" s="334">
        <v>0.87</v>
      </c>
      <c r="V241" s="333">
        <v>330</v>
      </c>
      <c r="W241" s="334">
        <v>1</v>
      </c>
      <c r="X241" s="334">
        <v>1.02</v>
      </c>
      <c r="Y241" s="335">
        <v>1.02</v>
      </c>
      <c r="Z241" s="334">
        <v>1</v>
      </c>
      <c r="AA241" s="334">
        <v>0.95</v>
      </c>
      <c r="AC241" s="333">
        <v>330</v>
      </c>
      <c r="AD241" s="334">
        <v>1</v>
      </c>
      <c r="AE241" s="334">
        <v>1.06</v>
      </c>
      <c r="AF241" s="335">
        <v>1.0900000000000001</v>
      </c>
      <c r="AG241" s="334">
        <v>1.1000000000000001</v>
      </c>
      <c r="AH241" s="334">
        <v>1.0900000000000001</v>
      </c>
      <c r="AJ241" s="333">
        <v>330</v>
      </c>
      <c r="AK241" s="334">
        <v>1</v>
      </c>
      <c r="AL241" s="334">
        <v>1.1000000000000001</v>
      </c>
      <c r="AM241" s="335">
        <v>1.18</v>
      </c>
      <c r="AN241" s="334">
        <v>1.23</v>
      </c>
      <c r="AO241" s="334">
        <v>1.25</v>
      </c>
      <c r="AQ241" s="333">
        <v>330</v>
      </c>
      <c r="AR241" s="334">
        <v>1</v>
      </c>
      <c r="AS241" s="334">
        <v>1.1499999999999999</v>
      </c>
      <c r="AT241" s="335">
        <v>1.28</v>
      </c>
      <c r="AU241" s="334">
        <v>1.38</v>
      </c>
      <c r="AV241" s="334">
        <v>1.43</v>
      </c>
      <c r="AX241" s="333">
        <v>330</v>
      </c>
      <c r="AY241" s="334">
        <v>1</v>
      </c>
      <c r="AZ241" s="334">
        <v>1.18</v>
      </c>
      <c r="BA241" s="335">
        <v>1.33</v>
      </c>
      <c r="BB241" s="334">
        <v>1.45</v>
      </c>
      <c r="BC241" s="334">
        <v>1.52</v>
      </c>
      <c r="BE241" s="333">
        <v>330</v>
      </c>
      <c r="BF241" s="334">
        <v>1</v>
      </c>
      <c r="BG241" s="334">
        <v>1.17</v>
      </c>
      <c r="BH241" s="335">
        <v>1.31</v>
      </c>
      <c r="BI241" s="334">
        <v>1.42</v>
      </c>
      <c r="BJ241" s="334">
        <v>1.49</v>
      </c>
      <c r="BL241" s="333">
        <v>330</v>
      </c>
      <c r="BM241" s="334">
        <v>1</v>
      </c>
      <c r="BN241" s="334">
        <v>1.1299999999999999</v>
      </c>
      <c r="BO241" s="335">
        <v>1.23</v>
      </c>
      <c r="BP241" s="334">
        <v>1.3</v>
      </c>
      <c r="BQ241" s="334">
        <v>1.34</v>
      </c>
      <c r="BS241" s="333">
        <v>330</v>
      </c>
      <c r="BT241" s="334">
        <v>1</v>
      </c>
      <c r="BU241" s="334">
        <v>1.08</v>
      </c>
      <c r="BV241" s="335">
        <v>1.1299999999999999</v>
      </c>
      <c r="BW241" s="334">
        <v>1.1599999999999999</v>
      </c>
      <c r="BX241" s="334">
        <v>1.1599999999999999</v>
      </c>
      <c r="BZ241" s="333">
        <v>330</v>
      </c>
      <c r="CA241" s="334">
        <v>1</v>
      </c>
      <c r="CB241" s="334">
        <v>1.03</v>
      </c>
      <c r="CC241" s="335">
        <v>1.05</v>
      </c>
      <c r="CD241" s="334">
        <v>1.04</v>
      </c>
      <c r="CE241" s="334">
        <v>1</v>
      </c>
      <c r="CG241" s="333">
        <v>330</v>
      </c>
      <c r="CH241" s="334">
        <v>1</v>
      </c>
      <c r="CI241" s="334">
        <v>1.01</v>
      </c>
      <c r="CJ241" s="335">
        <v>0.99</v>
      </c>
      <c r="CK241" s="334">
        <v>0.95</v>
      </c>
      <c r="CL241" s="334">
        <v>0.89</v>
      </c>
      <c r="CN241" s="333">
        <v>330</v>
      </c>
      <c r="CO241" s="334">
        <v>1</v>
      </c>
      <c r="CP241" s="334">
        <v>0.99</v>
      </c>
      <c r="CQ241" s="335">
        <v>0.96</v>
      </c>
      <c r="CR241" s="334">
        <v>0.91</v>
      </c>
      <c r="CS241" s="334">
        <v>0.84</v>
      </c>
    </row>
    <row r="242" spans="3:97" x14ac:dyDescent="0.25">
      <c r="C242" s="333">
        <v>80</v>
      </c>
      <c r="D242" s="334">
        <v>0.9</v>
      </c>
      <c r="E242" s="334">
        <v>0.91</v>
      </c>
      <c r="F242" s="334">
        <v>0.91</v>
      </c>
      <c r="G242" s="335">
        <v>0.89</v>
      </c>
      <c r="H242" s="334">
        <v>0.86</v>
      </c>
      <c r="I242" s="334">
        <v>0.82</v>
      </c>
      <c r="J242" s="334">
        <v>0.77</v>
      </c>
      <c r="K242" s="334">
        <v>0.71</v>
      </c>
      <c r="L242" s="334">
        <v>0.64</v>
      </c>
      <c r="M242" s="334">
        <v>0.56999999999999995</v>
      </c>
      <c r="O242" s="333">
        <v>340</v>
      </c>
      <c r="P242" s="334">
        <v>1</v>
      </c>
      <c r="Q242" s="334">
        <v>1</v>
      </c>
      <c r="R242" s="335">
        <v>0.97</v>
      </c>
      <c r="S242" s="334">
        <v>0.93</v>
      </c>
      <c r="T242" s="334">
        <v>0.86</v>
      </c>
      <c r="V242" s="333">
        <v>340</v>
      </c>
      <c r="W242" s="334">
        <v>1</v>
      </c>
      <c r="X242" s="334">
        <v>1.02</v>
      </c>
      <c r="Y242" s="335">
        <v>1.02</v>
      </c>
      <c r="Z242" s="334">
        <v>1</v>
      </c>
      <c r="AA242" s="334">
        <v>0.95</v>
      </c>
      <c r="AC242" s="333">
        <v>340</v>
      </c>
      <c r="AD242" s="334">
        <v>1</v>
      </c>
      <c r="AE242" s="334">
        <v>1.07</v>
      </c>
      <c r="AF242" s="335">
        <v>1.1000000000000001</v>
      </c>
      <c r="AG242" s="334">
        <v>1.1200000000000001</v>
      </c>
      <c r="AH242" s="334">
        <v>1.1000000000000001</v>
      </c>
      <c r="AJ242" s="333">
        <v>340</v>
      </c>
      <c r="AK242" s="334">
        <v>1</v>
      </c>
      <c r="AL242" s="334">
        <v>1.1100000000000001</v>
      </c>
      <c r="AM242" s="335">
        <v>1.2</v>
      </c>
      <c r="AN242" s="334">
        <v>1.25</v>
      </c>
      <c r="AO242" s="334">
        <v>1.28</v>
      </c>
      <c r="AQ242" s="333">
        <v>340</v>
      </c>
      <c r="AR242" s="334">
        <v>1</v>
      </c>
      <c r="AS242" s="334">
        <v>1.17</v>
      </c>
      <c r="AT242" s="335">
        <v>1.31</v>
      </c>
      <c r="AU242" s="334">
        <v>1.41</v>
      </c>
      <c r="AV242" s="334">
        <v>1.48</v>
      </c>
      <c r="AX242" s="333">
        <v>340</v>
      </c>
      <c r="AY242" s="334">
        <v>1</v>
      </c>
      <c r="AZ242" s="334">
        <v>1.2</v>
      </c>
      <c r="BA242" s="335">
        <v>1.36</v>
      </c>
      <c r="BB242" s="334">
        <v>1.48</v>
      </c>
      <c r="BC242" s="334">
        <v>1.58</v>
      </c>
      <c r="BE242" s="333">
        <v>340</v>
      </c>
      <c r="BF242" s="334">
        <v>1</v>
      </c>
      <c r="BG242" s="334">
        <v>1.18</v>
      </c>
      <c r="BH242" s="335">
        <v>1.34</v>
      </c>
      <c r="BI242" s="334">
        <v>1.46</v>
      </c>
      <c r="BJ242" s="334">
        <v>1.54</v>
      </c>
      <c r="BL242" s="333">
        <v>340</v>
      </c>
      <c r="BM242" s="334">
        <v>1</v>
      </c>
      <c r="BN242" s="334">
        <v>1.1399999999999999</v>
      </c>
      <c r="BO242" s="335">
        <v>1.25</v>
      </c>
      <c r="BP242" s="334">
        <v>1.33</v>
      </c>
      <c r="BQ242" s="334">
        <v>1.37</v>
      </c>
      <c r="BS242" s="333">
        <v>340</v>
      </c>
      <c r="BT242" s="334">
        <v>1</v>
      </c>
      <c r="BU242" s="334">
        <v>1.08</v>
      </c>
      <c r="BV242" s="335">
        <v>1.1399999999999999</v>
      </c>
      <c r="BW242" s="334">
        <v>1.18</v>
      </c>
      <c r="BX242" s="334">
        <v>1.18</v>
      </c>
      <c r="BZ242" s="333">
        <v>340</v>
      </c>
      <c r="CA242" s="334">
        <v>1</v>
      </c>
      <c r="CB242" s="334">
        <v>1.04</v>
      </c>
      <c r="CC242" s="335">
        <v>1.05</v>
      </c>
      <c r="CD242" s="334">
        <v>1.04</v>
      </c>
      <c r="CE242" s="334">
        <v>1</v>
      </c>
      <c r="CG242" s="333">
        <v>340</v>
      </c>
      <c r="CH242" s="334">
        <v>1</v>
      </c>
      <c r="CI242" s="334">
        <v>1</v>
      </c>
      <c r="CJ242" s="335">
        <v>0.99</v>
      </c>
      <c r="CK242" s="334">
        <v>0.95</v>
      </c>
      <c r="CL242" s="334">
        <v>0.89</v>
      </c>
      <c r="CN242" s="333">
        <v>340</v>
      </c>
      <c r="CO242" s="334">
        <v>1</v>
      </c>
      <c r="CP242" s="334">
        <v>0.99</v>
      </c>
      <c r="CQ242" s="335">
        <v>0.95</v>
      </c>
      <c r="CR242" s="334">
        <v>0.9</v>
      </c>
      <c r="CS242" s="334">
        <v>0.83</v>
      </c>
    </row>
    <row r="243" spans="3:97" x14ac:dyDescent="0.25">
      <c r="C243" s="333">
        <v>90</v>
      </c>
      <c r="D243" s="334">
        <v>0.9</v>
      </c>
      <c r="E243" s="334">
        <v>0.91</v>
      </c>
      <c r="F243" s="334">
        <v>0.89</v>
      </c>
      <c r="G243" s="335">
        <v>0.87</v>
      </c>
      <c r="H243" s="334">
        <v>0.83</v>
      </c>
      <c r="I243" s="334">
        <v>0.79</v>
      </c>
      <c r="J243" s="334">
        <v>0.74</v>
      </c>
      <c r="K243" s="334">
        <v>0.68</v>
      </c>
      <c r="L243" s="334">
        <v>0.61</v>
      </c>
      <c r="M243" s="334">
        <v>0.55000000000000004</v>
      </c>
      <c r="O243" s="333">
        <v>350</v>
      </c>
      <c r="P243" s="334">
        <v>1</v>
      </c>
      <c r="Q243" s="334">
        <v>1</v>
      </c>
      <c r="R243" s="335">
        <v>0.97</v>
      </c>
      <c r="S243" s="334">
        <v>0.92</v>
      </c>
      <c r="T243" s="334">
        <v>0.85</v>
      </c>
      <c r="V243" s="333">
        <v>350</v>
      </c>
      <c r="W243" s="334">
        <v>1</v>
      </c>
      <c r="X243" s="334">
        <v>1.02</v>
      </c>
      <c r="Y243" s="335">
        <v>1.02</v>
      </c>
      <c r="Z243" s="334">
        <v>1</v>
      </c>
      <c r="AA243" s="334">
        <v>0.95</v>
      </c>
      <c r="AC243" s="333">
        <v>350</v>
      </c>
      <c r="AD243" s="334">
        <v>1</v>
      </c>
      <c r="AE243" s="334">
        <v>1.07</v>
      </c>
      <c r="AF243" s="335">
        <v>1.1100000000000001</v>
      </c>
      <c r="AG243" s="334">
        <v>1.1200000000000001</v>
      </c>
      <c r="AH243" s="334">
        <v>1.1100000000000001</v>
      </c>
      <c r="AJ243" s="333">
        <v>350</v>
      </c>
      <c r="AK243" s="334">
        <v>1</v>
      </c>
      <c r="AL243" s="334">
        <v>1.1200000000000001</v>
      </c>
      <c r="AM243" s="335">
        <v>1.21</v>
      </c>
      <c r="AN243" s="334">
        <v>1.27</v>
      </c>
      <c r="AO243" s="334">
        <v>1.3</v>
      </c>
      <c r="AQ243" s="333">
        <v>350</v>
      </c>
      <c r="AR243" s="334">
        <v>1</v>
      </c>
      <c r="AS243" s="334">
        <v>1.17</v>
      </c>
      <c r="AT243" s="335">
        <v>1.32</v>
      </c>
      <c r="AU243" s="334">
        <v>1.44</v>
      </c>
      <c r="AV243" s="334">
        <v>1.51</v>
      </c>
      <c r="AX243" s="333">
        <v>350</v>
      </c>
      <c r="AY243" s="334">
        <v>1</v>
      </c>
      <c r="AZ243" s="334">
        <v>1.2</v>
      </c>
      <c r="BA243" s="335">
        <v>1.38</v>
      </c>
      <c r="BB243" s="334">
        <v>1.51</v>
      </c>
      <c r="BC243" s="334">
        <v>1.61</v>
      </c>
      <c r="BE243" s="333">
        <v>350</v>
      </c>
      <c r="BF243" s="334">
        <v>1</v>
      </c>
      <c r="BG243" s="334">
        <v>1.19</v>
      </c>
      <c r="BH243" s="335">
        <v>1.35</v>
      </c>
      <c r="BI243" s="334">
        <v>1.48</v>
      </c>
      <c r="BJ243" s="334">
        <v>1.57</v>
      </c>
      <c r="BL243" s="333">
        <v>350</v>
      </c>
      <c r="BM243" s="334">
        <v>1</v>
      </c>
      <c r="BN243" s="334">
        <v>1.1399999999999999</v>
      </c>
      <c r="BO243" s="335">
        <v>1.26</v>
      </c>
      <c r="BP243" s="334">
        <v>1.35</v>
      </c>
      <c r="BQ243" s="334">
        <v>1.39</v>
      </c>
      <c r="BS243" s="333">
        <v>350</v>
      </c>
      <c r="BT243" s="334">
        <v>1</v>
      </c>
      <c r="BU243" s="334">
        <v>1.0900000000000001</v>
      </c>
      <c r="BV243" s="335">
        <v>1.1499999999999999</v>
      </c>
      <c r="BW243" s="334">
        <v>1.18</v>
      </c>
      <c r="BX243" s="334">
        <v>1.19</v>
      </c>
      <c r="BZ243" s="333">
        <v>350</v>
      </c>
      <c r="CA243" s="334">
        <v>1</v>
      </c>
      <c r="CB243" s="334">
        <v>1.04</v>
      </c>
      <c r="CC243" s="335">
        <v>1.05</v>
      </c>
      <c r="CD243" s="334">
        <v>1.04</v>
      </c>
      <c r="CE243" s="334">
        <v>1</v>
      </c>
      <c r="CG243" s="333">
        <v>350</v>
      </c>
      <c r="CH243" s="334">
        <v>1</v>
      </c>
      <c r="CI243" s="334">
        <v>1</v>
      </c>
      <c r="CJ243" s="335">
        <v>0.98</v>
      </c>
      <c r="CK243" s="334">
        <v>0.94</v>
      </c>
      <c r="CL243" s="334">
        <v>0.88</v>
      </c>
      <c r="CN243" s="333">
        <v>350</v>
      </c>
      <c r="CO243" s="334">
        <v>1</v>
      </c>
      <c r="CP243" s="334">
        <v>0.99</v>
      </c>
      <c r="CQ243" s="335">
        <v>0.95</v>
      </c>
      <c r="CR243" s="334">
        <v>0.9</v>
      </c>
      <c r="CS243" s="334">
        <v>0.83</v>
      </c>
    </row>
    <row r="244" spans="3:97" x14ac:dyDescent="0.25">
      <c r="C244" s="333">
        <v>100</v>
      </c>
      <c r="D244" s="334">
        <v>0.9</v>
      </c>
      <c r="E244" s="334">
        <v>0.9</v>
      </c>
      <c r="F244" s="334">
        <v>0.88</v>
      </c>
      <c r="G244" s="335">
        <v>0.84</v>
      </c>
      <c r="H244" s="334">
        <v>0.8</v>
      </c>
      <c r="I244" s="334">
        <v>0.75</v>
      </c>
      <c r="J244" s="334">
        <v>0.7</v>
      </c>
      <c r="K244" s="334">
        <v>0.64</v>
      </c>
      <c r="L244" s="334">
        <v>0.57999999999999996</v>
      </c>
      <c r="M244" s="334">
        <v>0.52</v>
      </c>
      <c r="O244" s="333">
        <v>0</v>
      </c>
      <c r="P244" s="334">
        <v>1</v>
      </c>
      <c r="Q244" s="334">
        <v>0.99</v>
      </c>
      <c r="R244" s="335">
        <v>0.97</v>
      </c>
      <c r="S244" s="334">
        <v>0.92</v>
      </c>
      <c r="T244" s="334">
        <v>0.85</v>
      </c>
      <c r="V244" s="333">
        <v>0</v>
      </c>
      <c r="W244" s="334">
        <v>1</v>
      </c>
      <c r="X244" s="334">
        <v>1.02</v>
      </c>
      <c r="Y244" s="335">
        <v>1.02</v>
      </c>
      <c r="Z244" s="334">
        <v>0.99</v>
      </c>
      <c r="AA244" s="334">
        <v>0.95</v>
      </c>
      <c r="AC244" s="333">
        <v>0</v>
      </c>
      <c r="AD244" s="334">
        <v>1</v>
      </c>
      <c r="AE244" s="334">
        <v>1.07</v>
      </c>
      <c r="AF244" s="335">
        <v>1.1100000000000001</v>
      </c>
      <c r="AG244" s="334">
        <v>1.1200000000000001</v>
      </c>
      <c r="AH244" s="334">
        <v>1.1100000000000001</v>
      </c>
      <c r="AJ244" s="333">
        <v>0</v>
      </c>
      <c r="AK244" s="334">
        <v>1</v>
      </c>
      <c r="AL244" s="334">
        <v>1.1200000000000001</v>
      </c>
      <c r="AM244" s="335">
        <v>1.21</v>
      </c>
      <c r="AN244" s="334">
        <v>1.28</v>
      </c>
      <c r="AO244" s="334">
        <v>1.3</v>
      </c>
      <c r="AQ244" s="333">
        <v>0</v>
      </c>
      <c r="AR244" s="334">
        <v>1</v>
      </c>
      <c r="AS244" s="334">
        <v>1.18</v>
      </c>
      <c r="AT244" s="335">
        <v>1.33</v>
      </c>
      <c r="AU244" s="334">
        <v>1.44</v>
      </c>
      <c r="AV244" s="334">
        <v>1.52</v>
      </c>
      <c r="AX244" s="333">
        <v>0</v>
      </c>
      <c r="AY244" s="334">
        <v>1</v>
      </c>
      <c r="AZ244" s="334">
        <v>1.2</v>
      </c>
      <c r="BA244" s="335">
        <v>1.38</v>
      </c>
      <c r="BB244" s="334">
        <v>1.52</v>
      </c>
      <c r="BC244" s="334">
        <v>1.62</v>
      </c>
      <c r="BE244" s="333">
        <v>0</v>
      </c>
      <c r="BF244" s="334">
        <v>1</v>
      </c>
      <c r="BG244" s="334">
        <v>1.19</v>
      </c>
      <c r="BH244" s="335">
        <v>1.36</v>
      </c>
      <c r="BI244" s="334">
        <v>1.49</v>
      </c>
      <c r="BJ244" s="334">
        <v>1.58</v>
      </c>
      <c r="BL244" s="333">
        <v>0</v>
      </c>
      <c r="BM244" s="334">
        <v>1</v>
      </c>
      <c r="BN244" s="334">
        <v>1.1399999999999999</v>
      </c>
      <c r="BO244" s="335">
        <v>1.27</v>
      </c>
      <c r="BP244" s="334">
        <v>1.35</v>
      </c>
      <c r="BQ244" s="334">
        <v>1.4</v>
      </c>
      <c r="BS244" s="333">
        <v>0</v>
      </c>
      <c r="BT244" s="334">
        <v>1</v>
      </c>
      <c r="BU244" s="334">
        <v>1.0900000000000001</v>
      </c>
      <c r="BV244" s="335">
        <v>1.1499999999999999</v>
      </c>
      <c r="BW244" s="334">
        <v>1.19</v>
      </c>
      <c r="BX244" s="334">
        <v>1.19</v>
      </c>
      <c r="BZ244" s="333">
        <v>0</v>
      </c>
      <c r="CA244" s="334">
        <v>1</v>
      </c>
      <c r="CB244" s="334">
        <v>1.04</v>
      </c>
      <c r="CC244" s="335">
        <v>1.05</v>
      </c>
      <c r="CD244" s="334">
        <v>1.04</v>
      </c>
      <c r="CE244" s="334">
        <v>1</v>
      </c>
      <c r="CG244" s="333">
        <v>0</v>
      </c>
      <c r="CH244" s="334">
        <v>1</v>
      </c>
      <c r="CI244" s="334">
        <v>1</v>
      </c>
      <c r="CJ244" s="335">
        <v>0.98</v>
      </c>
      <c r="CK244" s="334">
        <v>0.94</v>
      </c>
      <c r="CL244" s="334">
        <v>0.88</v>
      </c>
      <c r="CN244" s="333">
        <v>0</v>
      </c>
      <c r="CO244" s="334">
        <v>1</v>
      </c>
      <c r="CP244" s="334">
        <v>0.99</v>
      </c>
      <c r="CQ244" s="335">
        <v>0.95</v>
      </c>
      <c r="CR244" s="334">
        <v>0.9</v>
      </c>
      <c r="CS244" s="334">
        <v>0.82</v>
      </c>
    </row>
    <row r="245" spans="3:97" x14ac:dyDescent="0.25">
      <c r="C245" s="333">
        <v>110</v>
      </c>
      <c r="D245" s="334">
        <v>0.9</v>
      </c>
      <c r="E245" s="334">
        <v>0.89</v>
      </c>
      <c r="F245" s="334">
        <v>0.86</v>
      </c>
      <c r="G245" s="335">
        <v>0.82</v>
      </c>
      <c r="H245" s="334">
        <v>0.77</v>
      </c>
      <c r="I245" s="334">
        <v>0.71</v>
      </c>
      <c r="J245" s="334">
        <v>0.65</v>
      </c>
      <c r="K245" s="334">
        <v>0.6</v>
      </c>
      <c r="L245" s="334">
        <v>0.54</v>
      </c>
      <c r="M245" s="334">
        <v>0.48</v>
      </c>
      <c r="O245" s="333">
        <v>10</v>
      </c>
      <c r="P245" s="334">
        <v>1</v>
      </c>
      <c r="Q245" s="334">
        <v>0.99</v>
      </c>
      <c r="R245" s="335">
        <v>0.97</v>
      </c>
      <c r="S245" s="334">
        <v>0.92</v>
      </c>
      <c r="T245" s="334">
        <v>0.85</v>
      </c>
      <c r="V245" s="333">
        <v>10</v>
      </c>
      <c r="W245" s="334">
        <v>1</v>
      </c>
      <c r="X245" s="334">
        <v>1.02</v>
      </c>
      <c r="Y245" s="335">
        <v>1.02</v>
      </c>
      <c r="Z245" s="334">
        <v>1</v>
      </c>
      <c r="AA245" s="334">
        <v>0.95</v>
      </c>
      <c r="AC245" s="333">
        <v>10</v>
      </c>
      <c r="AD245" s="334">
        <v>1</v>
      </c>
      <c r="AE245" s="334">
        <v>1.07</v>
      </c>
      <c r="AF245" s="335">
        <v>1.1100000000000001</v>
      </c>
      <c r="AG245" s="334">
        <v>1.1200000000000001</v>
      </c>
      <c r="AH245" s="334">
        <v>1.1000000000000001</v>
      </c>
      <c r="AJ245" s="333">
        <v>10</v>
      </c>
      <c r="AK245" s="334">
        <v>1</v>
      </c>
      <c r="AL245" s="334">
        <v>1.1200000000000001</v>
      </c>
      <c r="AM245" s="335">
        <v>1.21</v>
      </c>
      <c r="AN245" s="334">
        <v>1.27</v>
      </c>
      <c r="AO245" s="334">
        <v>1.3</v>
      </c>
      <c r="AQ245" s="333">
        <v>10</v>
      </c>
      <c r="AR245" s="334">
        <v>1</v>
      </c>
      <c r="AS245" s="334">
        <v>1.17</v>
      </c>
      <c r="AT245" s="335">
        <v>1.32</v>
      </c>
      <c r="AU245" s="334">
        <v>1.43</v>
      </c>
      <c r="AV245" s="334">
        <v>1.51</v>
      </c>
      <c r="AX245" s="333">
        <v>10</v>
      </c>
      <c r="AY245" s="334">
        <v>1</v>
      </c>
      <c r="AZ245" s="334">
        <v>1.2</v>
      </c>
      <c r="BA245" s="335">
        <v>1.38</v>
      </c>
      <c r="BB245" s="334">
        <v>1.51</v>
      </c>
      <c r="BC245" s="334">
        <v>1.61</v>
      </c>
      <c r="BE245" s="333">
        <v>10</v>
      </c>
      <c r="BF245" s="334">
        <v>1</v>
      </c>
      <c r="BG245" s="334">
        <v>1.19</v>
      </c>
      <c r="BH245" s="335">
        <v>1.35</v>
      </c>
      <c r="BI245" s="334">
        <v>1.48</v>
      </c>
      <c r="BJ245" s="334">
        <v>1.57</v>
      </c>
      <c r="BL245" s="333">
        <v>10</v>
      </c>
      <c r="BM245" s="334">
        <v>1</v>
      </c>
      <c r="BN245" s="334">
        <v>1.1399999999999999</v>
      </c>
      <c r="BO245" s="335">
        <v>1.26</v>
      </c>
      <c r="BP245" s="334">
        <v>1.35</v>
      </c>
      <c r="BQ245" s="334">
        <v>1.39</v>
      </c>
      <c r="BS245" s="333">
        <v>10</v>
      </c>
      <c r="BT245" s="334">
        <v>1</v>
      </c>
      <c r="BU245" s="334">
        <v>1.0900000000000001</v>
      </c>
      <c r="BV245" s="335">
        <v>1.1499999999999999</v>
      </c>
      <c r="BW245" s="334">
        <v>1.18</v>
      </c>
      <c r="BX245" s="334">
        <v>1.18</v>
      </c>
      <c r="BZ245" s="333">
        <v>10</v>
      </c>
      <c r="CA245" s="334">
        <v>1</v>
      </c>
      <c r="CB245" s="334">
        <v>1.04</v>
      </c>
      <c r="CC245" s="335">
        <v>1.05</v>
      </c>
      <c r="CD245" s="334">
        <v>1.03</v>
      </c>
      <c r="CE245" s="334">
        <v>1</v>
      </c>
      <c r="CG245" s="333">
        <v>10</v>
      </c>
      <c r="CH245" s="334">
        <v>1</v>
      </c>
      <c r="CI245" s="334">
        <v>1</v>
      </c>
      <c r="CJ245" s="335">
        <v>0.98</v>
      </c>
      <c r="CK245" s="334">
        <v>0.94</v>
      </c>
      <c r="CL245" s="334">
        <v>0.88</v>
      </c>
      <c r="CN245" s="333">
        <v>10</v>
      </c>
      <c r="CO245" s="334">
        <v>1</v>
      </c>
      <c r="CP245" s="334">
        <v>0.99</v>
      </c>
      <c r="CQ245" s="335">
        <v>0.95</v>
      </c>
      <c r="CR245" s="334">
        <v>0.9</v>
      </c>
      <c r="CS245" s="334">
        <v>0.82</v>
      </c>
    </row>
    <row r="246" spans="3:97" x14ac:dyDescent="0.25">
      <c r="C246" s="333">
        <v>120</v>
      </c>
      <c r="D246" s="334">
        <v>0.9</v>
      </c>
      <c r="E246" s="334">
        <v>0.88</v>
      </c>
      <c r="F246" s="334">
        <v>0.84</v>
      </c>
      <c r="G246" s="335">
        <v>0.79</v>
      </c>
      <c r="H246" s="334">
        <v>0.73</v>
      </c>
      <c r="I246" s="334">
        <v>0.67</v>
      </c>
      <c r="J246" s="334">
        <v>0.61</v>
      </c>
      <c r="K246" s="334">
        <v>0.55000000000000004</v>
      </c>
      <c r="L246" s="334">
        <v>0.5</v>
      </c>
      <c r="M246" s="334">
        <v>0.44</v>
      </c>
      <c r="O246" s="333">
        <v>20</v>
      </c>
      <c r="P246" s="334">
        <v>1</v>
      </c>
      <c r="Q246" s="334">
        <v>0.99</v>
      </c>
      <c r="R246" s="335">
        <v>0.97</v>
      </c>
      <c r="S246" s="334">
        <v>0.92</v>
      </c>
      <c r="T246" s="334">
        <v>0.85</v>
      </c>
      <c r="V246" s="333">
        <v>20</v>
      </c>
      <c r="W246" s="334">
        <v>1</v>
      </c>
      <c r="X246" s="334">
        <v>1.02</v>
      </c>
      <c r="Y246" s="335">
        <v>1.02</v>
      </c>
      <c r="Z246" s="334">
        <v>1</v>
      </c>
      <c r="AA246" s="334">
        <v>0.95</v>
      </c>
      <c r="AC246" s="333">
        <v>20</v>
      </c>
      <c r="AD246" s="334">
        <v>1</v>
      </c>
      <c r="AE246" s="334">
        <v>1.07</v>
      </c>
      <c r="AF246" s="335">
        <v>1.1000000000000001</v>
      </c>
      <c r="AG246" s="334">
        <v>1.1100000000000001</v>
      </c>
      <c r="AH246" s="334">
        <v>1.0900000000000001</v>
      </c>
      <c r="AJ246" s="333">
        <v>20</v>
      </c>
      <c r="AK246" s="334">
        <v>1</v>
      </c>
      <c r="AL246" s="334">
        <v>1.1100000000000001</v>
      </c>
      <c r="AM246" s="335">
        <v>1.2</v>
      </c>
      <c r="AN246" s="334">
        <v>1.25</v>
      </c>
      <c r="AO246" s="334">
        <v>1.28</v>
      </c>
      <c r="AQ246" s="333">
        <v>20</v>
      </c>
      <c r="AR246" s="334">
        <v>1</v>
      </c>
      <c r="AS246" s="334">
        <v>1.17</v>
      </c>
      <c r="AT246" s="335">
        <v>1.31</v>
      </c>
      <c r="AU246" s="334">
        <v>1.41</v>
      </c>
      <c r="AV246" s="334">
        <v>1.48</v>
      </c>
      <c r="AX246" s="333">
        <v>20</v>
      </c>
      <c r="AY246" s="334">
        <v>1</v>
      </c>
      <c r="AZ246" s="334">
        <v>1.2</v>
      </c>
      <c r="BA246" s="335">
        <v>1.36</v>
      </c>
      <c r="BB246" s="334">
        <v>1.48</v>
      </c>
      <c r="BC246" s="334">
        <v>1.57</v>
      </c>
      <c r="BE246" s="333">
        <v>20</v>
      </c>
      <c r="BF246" s="334">
        <v>1</v>
      </c>
      <c r="BG246" s="334">
        <v>1.18</v>
      </c>
      <c r="BH246" s="335">
        <v>1.34</v>
      </c>
      <c r="BI246" s="334">
        <v>1.45</v>
      </c>
      <c r="BJ246" s="334">
        <v>1.54</v>
      </c>
      <c r="BL246" s="333">
        <v>20</v>
      </c>
      <c r="BM246" s="334">
        <v>1</v>
      </c>
      <c r="BN246" s="334">
        <v>1.1399999999999999</v>
      </c>
      <c r="BO246" s="335">
        <v>1.25</v>
      </c>
      <c r="BP246" s="334">
        <v>1.33</v>
      </c>
      <c r="BQ246" s="334">
        <v>1.37</v>
      </c>
      <c r="BS246" s="333">
        <v>20</v>
      </c>
      <c r="BT246" s="334">
        <v>1</v>
      </c>
      <c r="BU246" s="334">
        <v>1.08</v>
      </c>
      <c r="BV246" s="335">
        <v>1.1399999999999999</v>
      </c>
      <c r="BW246" s="334">
        <v>1.17</v>
      </c>
      <c r="BX246" s="334">
        <v>1.17</v>
      </c>
      <c r="BZ246" s="333">
        <v>20</v>
      </c>
      <c r="CA246" s="334">
        <v>1</v>
      </c>
      <c r="CB246" s="334">
        <v>1.03</v>
      </c>
      <c r="CC246" s="335">
        <v>1.05</v>
      </c>
      <c r="CD246" s="334">
        <v>1.03</v>
      </c>
      <c r="CE246" s="334">
        <v>1</v>
      </c>
      <c r="CG246" s="333">
        <v>20</v>
      </c>
      <c r="CH246" s="334">
        <v>1</v>
      </c>
      <c r="CI246" s="334">
        <v>1</v>
      </c>
      <c r="CJ246" s="335">
        <v>0.98</v>
      </c>
      <c r="CK246" s="334">
        <v>0.94</v>
      </c>
      <c r="CL246" s="334">
        <v>0.88</v>
      </c>
      <c r="CN246" s="333">
        <v>20</v>
      </c>
      <c r="CO246" s="334">
        <v>1</v>
      </c>
      <c r="CP246" s="334">
        <v>0.99</v>
      </c>
      <c r="CQ246" s="335">
        <v>0.96</v>
      </c>
      <c r="CR246" s="334">
        <v>0.9</v>
      </c>
      <c r="CS246" s="334">
        <v>0.83</v>
      </c>
    </row>
    <row r="247" spans="3:97" x14ac:dyDescent="0.25">
      <c r="C247" s="333">
        <v>130</v>
      </c>
      <c r="D247" s="334">
        <v>0.9</v>
      </c>
      <c r="E247" s="334">
        <v>0.87</v>
      </c>
      <c r="F247" s="334">
        <v>0.82</v>
      </c>
      <c r="G247" s="335">
        <v>0.76</v>
      </c>
      <c r="H247" s="334">
        <v>0.7</v>
      </c>
      <c r="I247" s="334">
        <v>0.63</v>
      </c>
      <c r="J247" s="334">
        <v>0.56999999999999995</v>
      </c>
      <c r="K247" s="334">
        <v>0.51</v>
      </c>
      <c r="L247" s="334">
        <v>0.45</v>
      </c>
      <c r="M247" s="334">
        <v>0.4</v>
      </c>
      <c r="O247" s="333">
        <v>30</v>
      </c>
      <c r="P247" s="334">
        <v>1</v>
      </c>
      <c r="Q247" s="334">
        <v>0.99</v>
      </c>
      <c r="R247" s="335">
        <v>0.97</v>
      </c>
      <c r="S247" s="334">
        <v>0.92</v>
      </c>
      <c r="T247" s="334">
        <v>0.86</v>
      </c>
      <c r="V247" s="333">
        <v>30</v>
      </c>
      <c r="W247" s="334">
        <v>1</v>
      </c>
      <c r="X247" s="334">
        <v>1.02</v>
      </c>
      <c r="Y247" s="335">
        <v>1.02</v>
      </c>
      <c r="Z247" s="334">
        <v>0.99</v>
      </c>
      <c r="AA247" s="334">
        <v>0.95</v>
      </c>
      <c r="AC247" s="333">
        <v>30</v>
      </c>
      <c r="AD247" s="334">
        <v>1</v>
      </c>
      <c r="AE247" s="334">
        <v>1.06</v>
      </c>
      <c r="AF247" s="335">
        <v>1.0900000000000001</v>
      </c>
      <c r="AG247" s="334">
        <v>1.1000000000000001</v>
      </c>
      <c r="AH247" s="334">
        <v>1.08</v>
      </c>
      <c r="AJ247" s="333">
        <v>30</v>
      </c>
      <c r="AK247" s="334">
        <v>1</v>
      </c>
      <c r="AL247" s="334">
        <v>1.1000000000000001</v>
      </c>
      <c r="AM247" s="335">
        <v>1.18</v>
      </c>
      <c r="AN247" s="334">
        <v>1.23</v>
      </c>
      <c r="AO247" s="334">
        <v>1.25</v>
      </c>
      <c r="AQ247" s="333">
        <v>30</v>
      </c>
      <c r="AR247" s="334">
        <v>1</v>
      </c>
      <c r="AS247" s="334">
        <v>1.1499999999999999</v>
      </c>
      <c r="AT247" s="335">
        <v>1.28</v>
      </c>
      <c r="AU247" s="334">
        <v>1.38</v>
      </c>
      <c r="AV247" s="334">
        <v>1.43</v>
      </c>
      <c r="AX247" s="333">
        <v>30</v>
      </c>
      <c r="AY247" s="334">
        <v>1</v>
      </c>
      <c r="AZ247" s="334">
        <v>1.18</v>
      </c>
      <c r="BA247" s="335">
        <v>1.33</v>
      </c>
      <c r="BB247" s="334">
        <v>1.44</v>
      </c>
      <c r="BC247" s="334">
        <v>1.52</v>
      </c>
      <c r="BE247" s="333">
        <v>30</v>
      </c>
      <c r="BF247" s="334">
        <v>1</v>
      </c>
      <c r="BG247" s="334">
        <v>1.17</v>
      </c>
      <c r="BH247" s="335">
        <v>1.31</v>
      </c>
      <c r="BI247" s="334">
        <v>1.42</v>
      </c>
      <c r="BJ247" s="334">
        <v>1.48</v>
      </c>
      <c r="BL247" s="333">
        <v>30</v>
      </c>
      <c r="BM247" s="334">
        <v>1</v>
      </c>
      <c r="BN247" s="334">
        <v>1.1299999999999999</v>
      </c>
      <c r="BO247" s="335">
        <v>1.23</v>
      </c>
      <c r="BP247" s="334">
        <v>1.29</v>
      </c>
      <c r="BQ247" s="334">
        <v>1.34</v>
      </c>
      <c r="BS247" s="333">
        <v>30</v>
      </c>
      <c r="BT247" s="334">
        <v>1</v>
      </c>
      <c r="BU247" s="334">
        <v>1.07</v>
      </c>
      <c r="BV247" s="335">
        <v>1.1299999999999999</v>
      </c>
      <c r="BW247" s="334">
        <v>1.1499999999999999</v>
      </c>
      <c r="BX247" s="334">
        <v>1.1499999999999999</v>
      </c>
      <c r="BZ247" s="333">
        <v>30</v>
      </c>
      <c r="CA247" s="334">
        <v>1</v>
      </c>
      <c r="CB247" s="334">
        <v>1.03</v>
      </c>
      <c r="CC247" s="335">
        <v>1.04</v>
      </c>
      <c r="CD247" s="334">
        <v>1.03</v>
      </c>
      <c r="CE247" s="334">
        <v>0.99</v>
      </c>
      <c r="CG247" s="333">
        <v>30</v>
      </c>
      <c r="CH247" s="334">
        <v>1</v>
      </c>
      <c r="CI247" s="334">
        <v>1</v>
      </c>
      <c r="CJ247" s="335">
        <v>0.98</v>
      </c>
      <c r="CK247" s="334">
        <v>0.95</v>
      </c>
      <c r="CL247" s="334">
        <v>0.89</v>
      </c>
      <c r="CN247" s="333">
        <v>30</v>
      </c>
      <c r="CO247" s="334">
        <v>1</v>
      </c>
      <c r="CP247" s="334">
        <v>0.99</v>
      </c>
      <c r="CQ247" s="335">
        <v>0.96</v>
      </c>
      <c r="CR247" s="334">
        <v>0.91</v>
      </c>
      <c r="CS247" s="334">
        <v>0.84</v>
      </c>
    </row>
    <row r="248" spans="3:97" x14ac:dyDescent="0.25">
      <c r="C248" s="333">
        <v>140</v>
      </c>
      <c r="D248" s="334">
        <v>0.9</v>
      </c>
      <c r="E248" s="334">
        <v>0.86</v>
      </c>
      <c r="F248" s="334">
        <v>0.81</v>
      </c>
      <c r="G248" s="335">
        <v>0.74</v>
      </c>
      <c r="H248" s="334">
        <v>0.66</v>
      </c>
      <c r="I248" s="334">
        <v>0.59</v>
      </c>
      <c r="J248" s="334">
        <v>0.52</v>
      </c>
      <c r="K248" s="334">
        <v>0.46</v>
      </c>
      <c r="L248" s="334">
        <v>0.41</v>
      </c>
      <c r="M248" s="334">
        <v>0.36</v>
      </c>
      <c r="O248" s="333">
        <v>40</v>
      </c>
      <c r="P248" s="334">
        <v>1</v>
      </c>
      <c r="Q248" s="334">
        <v>0.99</v>
      </c>
      <c r="R248" s="335">
        <v>0.97</v>
      </c>
      <c r="S248" s="334">
        <v>0.93</v>
      </c>
      <c r="T248" s="334">
        <v>0.87</v>
      </c>
      <c r="V248" s="333">
        <v>40</v>
      </c>
      <c r="W248" s="334">
        <v>1</v>
      </c>
      <c r="X248" s="334">
        <v>1.02</v>
      </c>
      <c r="Y248" s="335">
        <v>1.01</v>
      </c>
      <c r="Z248" s="334">
        <v>0.99</v>
      </c>
      <c r="AA248" s="334">
        <v>0.95</v>
      </c>
      <c r="AC248" s="333">
        <v>40</v>
      </c>
      <c r="AD248" s="334">
        <v>1</v>
      </c>
      <c r="AE248" s="334">
        <v>1.06</v>
      </c>
      <c r="AF248" s="335">
        <v>1.08</v>
      </c>
      <c r="AG248" s="334">
        <v>1.0900000000000001</v>
      </c>
      <c r="AH248" s="334">
        <v>1.07</v>
      </c>
      <c r="AJ248" s="333">
        <v>40</v>
      </c>
      <c r="AK248" s="334">
        <v>1</v>
      </c>
      <c r="AL248" s="334">
        <v>1.0900000000000001</v>
      </c>
      <c r="AM248" s="335">
        <v>1.1599999999999999</v>
      </c>
      <c r="AN248" s="334">
        <v>1.2</v>
      </c>
      <c r="AO248" s="334">
        <v>1.21</v>
      </c>
      <c r="AQ248" s="333">
        <v>40</v>
      </c>
      <c r="AR248" s="334">
        <v>1</v>
      </c>
      <c r="AS248" s="334">
        <v>1.1399999999999999</v>
      </c>
      <c r="AT248" s="335">
        <v>1.25</v>
      </c>
      <c r="AU248" s="334">
        <v>1.33</v>
      </c>
      <c r="AV248" s="334">
        <v>1.37</v>
      </c>
      <c r="AX248" s="333">
        <v>40</v>
      </c>
      <c r="AY248" s="334">
        <v>1</v>
      </c>
      <c r="AZ248" s="334">
        <v>1.1599999999999999</v>
      </c>
      <c r="BA248" s="335">
        <v>1.29</v>
      </c>
      <c r="BB248" s="334">
        <v>1.38</v>
      </c>
      <c r="BC248" s="334">
        <v>1.45</v>
      </c>
      <c r="BE248" s="333">
        <v>40</v>
      </c>
      <c r="BF248" s="334">
        <v>1</v>
      </c>
      <c r="BG248" s="334">
        <v>1.1499999999999999</v>
      </c>
      <c r="BH248" s="335">
        <v>1.27</v>
      </c>
      <c r="BI248" s="334">
        <v>1.36</v>
      </c>
      <c r="BJ248" s="334">
        <v>1.42</v>
      </c>
      <c r="BL248" s="333">
        <v>40</v>
      </c>
      <c r="BM248" s="334">
        <v>1</v>
      </c>
      <c r="BN248" s="334">
        <v>1.1200000000000001</v>
      </c>
      <c r="BO248" s="335">
        <v>1.2</v>
      </c>
      <c r="BP248" s="334">
        <v>1.26</v>
      </c>
      <c r="BQ248" s="334">
        <v>1.29</v>
      </c>
      <c r="BS248" s="333">
        <v>40</v>
      </c>
      <c r="BT248" s="334">
        <v>1</v>
      </c>
      <c r="BU248" s="334">
        <v>1.07</v>
      </c>
      <c r="BV248" s="335">
        <v>1.1100000000000001</v>
      </c>
      <c r="BW248" s="334">
        <v>1.1299999999999999</v>
      </c>
      <c r="BX248" s="334">
        <v>1.1200000000000001</v>
      </c>
      <c r="BZ248" s="333">
        <v>40</v>
      </c>
      <c r="CA248" s="334">
        <v>1</v>
      </c>
      <c r="CB248" s="334">
        <v>1.03</v>
      </c>
      <c r="CC248" s="335">
        <v>1.03</v>
      </c>
      <c r="CD248" s="334">
        <v>1.02</v>
      </c>
      <c r="CE248" s="334">
        <v>0.98</v>
      </c>
      <c r="CG248" s="333">
        <v>40</v>
      </c>
      <c r="CH248" s="334">
        <v>1</v>
      </c>
      <c r="CI248" s="334">
        <v>1</v>
      </c>
      <c r="CJ248" s="335">
        <v>0.98</v>
      </c>
      <c r="CK248" s="334">
        <v>0.95</v>
      </c>
      <c r="CL248" s="334">
        <v>0.89</v>
      </c>
      <c r="CN248" s="333">
        <v>40</v>
      </c>
      <c r="CO248" s="334">
        <v>1</v>
      </c>
      <c r="CP248" s="334">
        <v>0.99</v>
      </c>
      <c r="CQ248" s="335">
        <v>0.96</v>
      </c>
      <c r="CR248" s="334">
        <v>0.92</v>
      </c>
      <c r="CS248" s="334">
        <v>0.86</v>
      </c>
    </row>
    <row r="249" spans="3:97" x14ac:dyDescent="0.25">
      <c r="C249" s="333">
        <v>150</v>
      </c>
      <c r="D249" s="334">
        <v>0.9</v>
      </c>
      <c r="E249" s="334">
        <v>0.86</v>
      </c>
      <c r="F249" s="334">
        <v>0.8</v>
      </c>
      <c r="G249" s="335">
        <v>0.72</v>
      </c>
      <c r="H249" s="334">
        <v>0.64</v>
      </c>
      <c r="I249" s="334">
        <v>0.56000000000000005</v>
      </c>
      <c r="J249" s="334">
        <v>0.48</v>
      </c>
      <c r="K249" s="334">
        <v>0.42</v>
      </c>
      <c r="L249" s="334">
        <v>0.37</v>
      </c>
      <c r="M249" s="334">
        <v>0.32</v>
      </c>
      <c r="O249" s="333">
        <v>50</v>
      </c>
      <c r="P249" s="334">
        <v>1</v>
      </c>
      <c r="Q249" s="334">
        <v>0.99</v>
      </c>
      <c r="R249" s="335">
        <v>0.97</v>
      </c>
      <c r="S249" s="334">
        <v>0.93</v>
      </c>
      <c r="T249" s="334">
        <v>0.88</v>
      </c>
      <c r="V249" s="333">
        <v>50</v>
      </c>
      <c r="W249" s="334">
        <v>1</v>
      </c>
      <c r="X249" s="334">
        <v>1.01</v>
      </c>
      <c r="Y249" s="335">
        <v>1.01</v>
      </c>
      <c r="Z249" s="334">
        <v>0.99</v>
      </c>
      <c r="AA249" s="334">
        <v>0.95</v>
      </c>
      <c r="AC249" s="333">
        <v>50</v>
      </c>
      <c r="AD249" s="334">
        <v>1</v>
      </c>
      <c r="AE249" s="334">
        <v>1.05</v>
      </c>
      <c r="AF249" s="335">
        <v>1.07</v>
      </c>
      <c r="AG249" s="334">
        <v>1.07</v>
      </c>
      <c r="AH249" s="334">
        <v>1.05</v>
      </c>
      <c r="AJ249" s="333">
        <v>50</v>
      </c>
      <c r="AK249" s="334">
        <v>1</v>
      </c>
      <c r="AL249" s="334">
        <v>1.08</v>
      </c>
      <c r="AM249" s="335">
        <v>1.1299999999999999</v>
      </c>
      <c r="AN249" s="334">
        <v>1.17</v>
      </c>
      <c r="AO249" s="334">
        <v>1.17</v>
      </c>
      <c r="AQ249" s="333">
        <v>50</v>
      </c>
      <c r="AR249" s="334">
        <v>1</v>
      </c>
      <c r="AS249" s="334">
        <v>1.1100000000000001</v>
      </c>
      <c r="AT249" s="335">
        <v>1.21</v>
      </c>
      <c r="AU249" s="334">
        <v>1.27</v>
      </c>
      <c r="AV249" s="334">
        <v>1.3</v>
      </c>
      <c r="AX249" s="333">
        <v>50</v>
      </c>
      <c r="AY249" s="334">
        <v>1</v>
      </c>
      <c r="AZ249" s="334">
        <v>1.1299999999999999</v>
      </c>
      <c r="BA249" s="335">
        <v>1.24</v>
      </c>
      <c r="BB249" s="334">
        <v>1.32</v>
      </c>
      <c r="BC249" s="334">
        <v>1.37</v>
      </c>
      <c r="BE249" s="333">
        <v>50</v>
      </c>
      <c r="BF249" s="334">
        <v>1</v>
      </c>
      <c r="BG249" s="334">
        <v>1.1299999999999999</v>
      </c>
      <c r="BH249" s="335">
        <v>1.23</v>
      </c>
      <c r="BI249" s="334">
        <v>1.3</v>
      </c>
      <c r="BJ249" s="334">
        <v>1.34</v>
      </c>
      <c r="BL249" s="333">
        <v>50</v>
      </c>
      <c r="BM249" s="334">
        <v>1</v>
      </c>
      <c r="BN249" s="334">
        <v>1.0900000000000001</v>
      </c>
      <c r="BO249" s="335">
        <v>1.17</v>
      </c>
      <c r="BP249" s="334">
        <v>1.21</v>
      </c>
      <c r="BQ249" s="334">
        <v>1.23</v>
      </c>
      <c r="BS249" s="333">
        <v>50</v>
      </c>
      <c r="BT249" s="334">
        <v>1</v>
      </c>
      <c r="BU249" s="334">
        <v>1.06</v>
      </c>
      <c r="BV249" s="335">
        <v>1.0900000000000001</v>
      </c>
      <c r="BW249" s="334">
        <v>1.1000000000000001</v>
      </c>
      <c r="BX249" s="334">
        <v>1.0900000000000001</v>
      </c>
      <c r="BZ249" s="333">
        <v>50</v>
      </c>
      <c r="CA249" s="334">
        <v>1</v>
      </c>
      <c r="CB249" s="334">
        <v>1.02</v>
      </c>
      <c r="CC249" s="335">
        <v>1.03</v>
      </c>
      <c r="CD249" s="334">
        <v>1.01</v>
      </c>
      <c r="CE249" s="334">
        <v>0.97</v>
      </c>
      <c r="CG249" s="333">
        <v>50</v>
      </c>
      <c r="CH249" s="334">
        <v>1</v>
      </c>
      <c r="CI249" s="334">
        <v>1</v>
      </c>
      <c r="CJ249" s="335">
        <v>0.98</v>
      </c>
      <c r="CK249" s="334">
        <v>0.95</v>
      </c>
      <c r="CL249" s="334">
        <v>0.9</v>
      </c>
      <c r="CN249" s="333">
        <v>50</v>
      </c>
      <c r="CO249" s="334">
        <v>1</v>
      </c>
      <c r="CP249" s="334">
        <v>0.99</v>
      </c>
      <c r="CQ249" s="335">
        <v>0.97</v>
      </c>
      <c r="CR249" s="334">
        <v>0.93</v>
      </c>
      <c r="CS249" s="334">
        <v>0.87</v>
      </c>
    </row>
    <row r="250" spans="3:97" x14ac:dyDescent="0.25">
      <c r="C250" s="333">
        <v>160</v>
      </c>
      <c r="D250" s="334">
        <v>0.9</v>
      </c>
      <c r="E250" s="334">
        <v>0.85</v>
      </c>
      <c r="F250" s="334">
        <v>0.79</v>
      </c>
      <c r="G250" s="335">
        <v>0.71</v>
      </c>
      <c r="H250" s="334">
        <v>0.61</v>
      </c>
      <c r="I250" s="334">
        <v>0.53</v>
      </c>
      <c r="J250" s="334">
        <v>0.45</v>
      </c>
      <c r="K250" s="334">
        <v>0.39</v>
      </c>
      <c r="L250" s="334">
        <v>0.34</v>
      </c>
      <c r="M250" s="334">
        <v>0.3</v>
      </c>
      <c r="O250" s="333">
        <v>60</v>
      </c>
      <c r="P250" s="334">
        <v>1</v>
      </c>
      <c r="Q250" s="334">
        <v>1</v>
      </c>
      <c r="R250" s="335">
        <v>0.97</v>
      </c>
      <c r="S250" s="334">
        <v>0.94</v>
      </c>
      <c r="T250" s="334">
        <v>0.89</v>
      </c>
      <c r="V250" s="333">
        <v>60</v>
      </c>
      <c r="W250" s="334">
        <v>1</v>
      </c>
      <c r="X250" s="334">
        <v>1.01</v>
      </c>
      <c r="Y250" s="335">
        <v>1</v>
      </c>
      <c r="Z250" s="334">
        <v>0.98</v>
      </c>
      <c r="AA250" s="334">
        <v>0.95</v>
      </c>
      <c r="AC250" s="333">
        <v>60</v>
      </c>
      <c r="AD250" s="334">
        <v>1</v>
      </c>
      <c r="AE250" s="334">
        <v>1.04</v>
      </c>
      <c r="AF250" s="335">
        <v>1.05</v>
      </c>
      <c r="AG250" s="334">
        <v>1.05</v>
      </c>
      <c r="AH250" s="334">
        <v>1.03</v>
      </c>
      <c r="AJ250" s="333">
        <v>60</v>
      </c>
      <c r="AK250" s="334">
        <v>1</v>
      </c>
      <c r="AL250" s="334">
        <v>1.06</v>
      </c>
      <c r="AM250" s="335">
        <v>1.1100000000000001</v>
      </c>
      <c r="AN250" s="334">
        <v>1.1200000000000001</v>
      </c>
      <c r="AO250" s="334">
        <v>1.1299999999999999</v>
      </c>
      <c r="AQ250" s="333">
        <v>60</v>
      </c>
      <c r="AR250" s="334">
        <v>1</v>
      </c>
      <c r="AS250" s="334">
        <v>1.0900000000000001</v>
      </c>
      <c r="AT250" s="335">
        <v>1.1599999999999999</v>
      </c>
      <c r="AU250" s="334">
        <v>1.21</v>
      </c>
      <c r="AV250" s="334">
        <v>1.23</v>
      </c>
      <c r="AX250" s="333">
        <v>60</v>
      </c>
      <c r="AY250" s="334">
        <v>1</v>
      </c>
      <c r="AZ250" s="334">
        <v>1.1100000000000001</v>
      </c>
      <c r="BA250" s="335">
        <v>1.19</v>
      </c>
      <c r="BB250" s="334">
        <v>1.24</v>
      </c>
      <c r="BC250" s="334">
        <v>1.27</v>
      </c>
      <c r="BE250" s="333">
        <v>60</v>
      </c>
      <c r="BF250" s="334">
        <v>1</v>
      </c>
      <c r="BG250" s="334">
        <v>1.1000000000000001</v>
      </c>
      <c r="BH250" s="335">
        <v>1.18</v>
      </c>
      <c r="BI250" s="334">
        <v>1.23</v>
      </c>
      <c r="BJ250" s="334">
        <v>1.26</v>
      </c>
      <c r="BL250" s="333">
        <v>60</v>
      </c>
      <c r="BM250" s="334">
        <v>1</v>
      </c>
      <c r="BN250" s="334">
        <v>1.08</v>
      </c>
      <c r="BO250" s="335">
        <v>1.1299999999999999</v>
      </c>
      <c r="BP250" s="334">
        <v>1.1599999999999999</v>
      </c>
      <c r="BQ250" s="334">
        <v>1.17</v>
      </c>
      <c r="BS250" s="333">
        <v>60</v>
      </c>
      <c r="BT250" s="334">
        <v>1</v>
      </c>
      <c r="BU250" s="334">
        <v>1.04</v>
      </c>
      <c r="BV250" s="335">
        <v>1.07</v>
      </c>
      <c r="BW250" s="334">
        <v>1.07</v>
      </c>
      <c r="BX250" s="334">
        <v>1.06</v>
      </c>
      <c r="BZ250" s="333">
        <v>60</v>
      </c>
      <c r="CA250" s="334">
        <v>1</v>
      </c>
      <c r="CB250" s="334">
        <v>1.02</v>
      </c>
      <c r="CC250" s="335">
        <v>1.02</v>
      </c>
      <c r="CD250" s="334">
        <v>1</v>
      </c>
      <c r="CE250" s="334">
        <v>0.96</v>
      </c>
      <c r="CG250" s="333">
        <v>60</v>
      </c>
      <c r="CH250" s="334">
        <v>1</v>
      </c>
      <c r="CI250" s="334">
        <v>1</v>
      </c>
      <c r="CJ250" s="335">
        <v>0.98</v>
      </c>
      <c r="CK250" s="334">
        <v>0.95</v>
      </c>
      <c r="CL250" s="334">
        <v>0.91</v>
      </c>
      <c r="CN250" s="333">
        <v>60</v>
      </c>
      <c r="CO250" s="334">
        <v>1</v>
      </c>
      <c r="CP250" s="334">
        <v>1</v>
      </c>
      <c r="CQ250" s="335">
        <v>0.97</v>
      </c>
      <c r="CR250" s="334">
        <v>0.93</v>
      </c>
      <c r="CS250" s="334">
        <v>0.88</v>
      </c>
    </row>
    <row r="251" spans="3:97" x14ac:dyDescent="0.25">
      <c r="C251" s="333">
        <v>170</v>
      </c>
      <c r="D251" s="334">
        <v>0.9</v>
      </c>
      <c r="E251" s="334">
        <v>0.85</v>
      </c>
      <c r="F251" s="334">
        <v>0.78</v>
      </c>
      <c r="G251" s="335">
        <v>0.69</v>
      </c>
      <c r="H251" s="334">
        <v>0.6</v>
      </c>
      <c r="I251" s="334">
        <v>0.51</v>
      </c>
      <c r="J251" s="334">
        <v>0.44</v>
      </c>
      <c r="K251" s="334">
        <v>0.37</v>
      </c>
      <c r="L251" s="334">
        <v>0.31</v>
      </c>
      <c r="M251" s="334">
        <v>0.28000000000000003</v>
      </c>
      <c r="O251" s="333">
        <v>70</v>
      </c>
      <c r="P251" s="334">
        <v>1</v>
      </c>
      <c r="Q251" s="334">
        <v>1</v>
      </c>
      <c r="R251" s="335">
        <v>0.98</v>
      </c>
      <c r="S251" s="334">
        <v>0.94</v>
      </c>
      <c r="T251" s="334">
        <v>0.9</v>
      </c>
      <c r="V251" s="333">
        <v>70</v>
      </c>
      <c r="W251" s="334">
        <v>1</v>
      </c>
      <c r="X251" s="334">
        <v>1.01</v>
      </c>
      <c r="Y251" s="335">
        <v>1</v>
      </c>
      <c r="Z251" s="334">
        <v>0.98</v>
      </c>
      <c r="AA251" s="334">
        <v>0.94</v>
      </c>
      <c r="AC251" s="333">
        <v>70</v>
      </c>
      <c r="AD251" s="334">
        <v>1</v>
      </c>
      <c r="AE251" s="334">
        <v>1.03</v>
      </c>
      <c r="AF251" s="335">
        <v>1.04</v>
      </c>
      <c r="AG251" s="334">
        <v>1.02</v>
      </c>
      <c r="AH251" s="334">
        <v>1</v>
      </c>
      <c r="AJ251" s="333">
        <v>70</v>
      </c>
      <c r="AK251" s="334">
        <v>1</v>
      </c>
      <c r="AL251" s="334">
        <v>1.04</v>
      </c>
      <c r="AM251" s="335">
        <v>1.07</v>
      </c>
      <c r="AN251" s="334">
        <v>1.08</v>
      </c>
      <c r="AO251" s="334">
        <v>1.07</v>
      </c>
      <c r="AQ251" s="333">
        <v>70</v>
      </c>
      <c r="AR251" s="334">
        <v>1</v>
      </c>
      <c r="AS251" s="334">
        <v>1.07</v>
      </c>
      <c r="AT251" s="335">
        <v>1.1100000000000001</v>
      </c>
      <c r="AU251" s="334">
        <v>1.1399999999999999</v>
      </c>
      <c r="AV251" s="334">
        <v>1.1399999999999999</v>
      </c>
      <c r="AX251" s="333">
        <v>70</v>
      </c>
      <c r="AY251" s="334">
        <v>1</v>
      </c>
      <c r="AZ251" s="334">
        <v>1.08</v>
      </c>
      <c r="BA251" s="335">
        <v>1.1299999999999999</v>
      </c>
      <c r="BB251" s="334">
        <v>1.1599999999999999</v>
      </c>
      <c r="BC251" s="334">
        <v>1.17</v>
      </c>
      <c r="BE251" s="333">
        <v>70</v>
      </c>
      <c r="BF251" s="334">
        <v>1</v>
      </c>
      <c r="BG251" s="334">
        <v>1.07</v>
      </c>
      <c r="BH251" s="335">
        <v>1.1200000000000001</v>
      </c>
      <c r="BI251" s="334">
        <v>1.1599999999999999</v>
      </c>
      <c r="BJ251" s="334">
        <v>1.1599999999999999</v>
      </c>
      <c r="BL251" s="333">
        <v>70</v>
      </c>
      <c r="BM251" s="334">
        <v>1</v>
      </c>
      <c r="BN251" s="334">
        <v>1.05</v>
      </c>
      <c r="BO251" s="335">
        <v>1.0900000000000001</v>
      </c>
      <c r="BP251" s="334">
        <v>1.1000000000000001</v>
      </c>
      <c r="BQ251" s="334">
        <v>1.1000000000000001</v>
      </c>
      <c r="BS251" s="333">
        <v>70</v>
      </c>
      <c r="BT251" s="334">
        <v>1</v>
      </c>
      <c r="BU251" s="334">
        <v>1.03</v>
      </c>
      <c r="BV251" s="335">
        <v>1.04</v>
      </c>
      <c r="BW251" s="334">
        <v>1.04</v>
      </c>
      <c r="BX251" s="334">
        <v>1.01</v>
      </c>
      <c r="BZ251" s="333">
        <v>70</v>
      </c>
      <c r="CA251" s="334">
        <v>1</v>
      </c>
      <c r="CB251" s="334">
        <v>1.01</v>
      </c>
      <c r="CC251" s="335">
        <v>1</v>
      </c>
      <c r="CD251" s="334">
        <v>0.98</v>
      </c>
      <c r="CE251" s="334">
        <v>0.95</v>
      </c>
      <c r="CG251" s="333">
        <v>70</v>
      </c>
      <c r="CH251" s="334">
        <v>1</v>
      </c>
      <c r="CI251" s="334">
        <v>1</v>
      </c>
      <c r="CJ251" s="335">
        <v>0.98</v>
      </c>
      <c r="CK251" s="334">
        <v>0.95</v>
      </c>
      <c r="CL251" s="334">
        <v>0.91</v>
      </c>
      <c r="CN251" s="333">
        <v>70</v>
      </c>
      <c r="CO251" s="334">
        <v>1</v>
      </c>
      <c r="CP251" s="334">
        <v>1</v>
      </c>
      <c r="CQ251" s="335">
        <v>0.98</v>
      </c>
      <c r="CR251" s="334">
        <v>0.94</v>
      </c>
      <c r="CS251" s="334">
        <v>0.9</v>
      </c>
    </row>
    <row r="252" spans="3:97" x14ac:dyDescent="0.25">
      <c r="C252" s="333">
        <v>180</v>
      </c>
      <c r="D252" s="334">
        <v>0.9</v>
      </c>
      <c r="E252" s="334">
        <v>0.85</v>
      </c>
      <c r="F252" s="334">
        <v>0.78</v>
      </c>
      <c r="G252" s="335">
        <v>0.69</v>
      </c>
      <c r="H252" s="334">
        <v>0.59</v>
      </c>
      <c r="I252" s="334">
        <v>0.51</v>
      </c>
      <c r="J252" s="334">
        <v>0.43</v>
      </c>
      <c r="K252" s="334">
        <v>0.36</v>
      </c>
      <c r="L252" s="334">
        <v>0.3</v>
      </c>
      <c r="M252" s="334">
        <v>0.27</v>
      </c>
      <c r="O252" s="333">
        <v>80</v>
      </c>
      <c r="P252" s="334">
        <v>1</v>
      </c>
      <c r="Q252" s="334">
        <v>1</v>
      </c>
      <c r="R252" s="335">
        <v>0.98</v>
      </c>
      <c r="S252" s="334">
        <v>0.94</v>
      </c>
      <c r="T252" s="334">
        <v>0.9</v>
      </c>
      <c r="V252" s="333">
        <v>80</v>
      </c>
      <c r="W252" s="334">
        <v>1</v>
      </c>
      <c r="X252" s="334">
        <v>1</v>
      </c>
      <c r="Y252" s="335">
        <v>0.99</v>
      </c>
      <c r="Z252" s="334">
        <v>0.97</v>
      </c>
      <c r="AA252" s="334">
        <v>0.93</v>
      </c>
      <c r="AC252" s="333">
        <v>80</v>
      </c>
      <c r="AD252" s="334">
        <v>1</v>
      </c>
      <c r="AE252" s="334">
        <v>1.01</v>
      </c>
      <c r="AF252" s="335">
        <v>1.01</v>
      </c>
      <c r="AG252" s="334">
        <v>1</v>
      </c>
      <c r="AH252" s="334">
        <v>0.97</v>
      </c>
      <c r="AJ252" s="333">
        <v>80</v>
      </c>
      <c r="AK252" s="334">
        <v>1</v>
      </c>
      <c r="AL252" s="334">
        <v>1.03</v>
      </c>
      <c r="AM252" s="335">
        <v>1.03</v>
      </c>
      <c r="AN252" s="334">
        <v>1.03</v>
      </c>
      <c r="AO252" s="334">
        <v>1.01</v>
      </c>
      <c r="AQ252" s="333">
        <v>80</v>
      </c>
      <c r="AR252" s="334">
        <v>1</v>
      </c>
      <c r="AS252" s="334">
        <v>1.04</v>
      </c>
      <c r="AT252" s="335">
        <v>1.06</v>
      </c>
      <c r="AU252" s="334">
        <v>1.07</v>
      </c>
      <c r="AV252" s="334">
        <v>1.05</v>
      </c>
      <c r="AX252" s="333">
        <v>80</v>
      </c>
      <c r="AY252" s="334">
        <v>1</v>
      </c>
      <c r="AZ252" s="334">
        <v>1.05</v>
      </c>
      <c r="BA252" s="335">
        <v>1.07</v>
      </c>
      <c r="BB252" s="334">
        <v>1.08</v>
      </c>
      <c r="BC252" s="334">
        <v>1.08</v>
      </c>
      <c r="BE252" s="333">
        <v>80</v>
      </c>
      <c r="BF252" s="334">
        <v>1</v>
      </c>
      <c r="BG252" s="334">
        <v>1.04</v>
      </c>
      <c r="BH252" s="335">
        <v>1.06</v>
      </c>
      <c r="BI252" s="334">
        <v>1.07</v>
      </c>
      <c r="BJ252" s="334">
        <v>1.06</v>
      </c>
      <c r="BL252" s="333">
        <v>80</v>
      </c>
      <c r="BM252" s="334">
        <v>1</v>
      </c>
      <c r="BN252" s="334">
        <v>1.03</v>
      </c>
      <c r="BO252" s="335">
        <v>1.04</v>
      </c>
      <c r="BP252" s="334">
        <v>1.05</v>
      </c>
      <c r="BQ252" s="334">
        <v>1.03</v>
      </c>
      <c r="BS252" s="333">
        <v>80</v>
      </c>
      <c r="BT252" s="334">
        <v>1</v>
      </c>
      <c r="BU252" s="334">
        <v>1.01</v>
      </c>
      <c r="BV252" s="335">
        <v>1.01</v>
      </c>
      <c r="BW252" s="334">
        <v>1</v>
      </c>
      <c r="BX252" s="334">
        <v>0.97</v>
      </c>
      <c r="BZ252" s="333">
        <v>80</v>
      </c>
      <c r="CA252" s="334">
        <v>1</v>
      </c>
      <c r="CB252" s="334">
        <v>1</v>
      </c>
      <c r="CC252" s="335">
        <v>0.99</v>
      </c>
      <c r="CD252" s="334">
        <v>0.97</v>
      </c>
      <c r="CE252" s="334">
        <v>0.92</v>
      </c>
      <c r="CG252" s="333">
        <v>80</v>
      </c>
      <c r="CH252" s="334">
        <v>1</v>
      </c>
      <c r="CI252" s="334">
        <v>1</v>
      </c>
      <c r="CJ252" s="335">
        <v>0.98</v>
      </c>
      <c r="CK252" s="334">
        <v>0.95</v>
      </c>
      <c r="CL252" s="334">
        <v>0.91</v>
      </c>
      <c r="CN252" s="333">
        <v>80</v>
      </c>
      <c r="CO252" s="334">
        <v>1</v>
      </c>
      <c r="CP252" s="334">
        <v>1</v>
      </c>
      <c r="CQ252" s="335">
        <v>0.98</v>
      </c>
      <c r="CR252" s="334">
        <v>0.95</v>
      </c>
      <c r="CS252" s="334">
        <v>0.9</v>
      </c>
    </row>
    <row r="253" spans="3:97" x14ac:dyDescent="0.25">
      <c r="C253" s="333">
        <v>190</v>
      </c>
      <c r="D253" s="334">
        <v>0.9</v>
      </c>
      <c r="E253" s="334">
        <v>0.85</v>
      </c>
      <c r="F253" s="334">
        <v>0.78</v>
      </c>
      <c r="G253" s="335">
        <v>0.69</v>
      </c>
      <c r="H253" s="334">
        <v>0.59</v>
      </c>
      <c r="I253" s="334">
        <v>0.51</v>
      </c>
      <c r="J253" s="334">
        <v>0.43</v>
      </c>
      <c r="K253" s="334">
        <v>0.37</v>
      </c>
      <c r="L253" s="334">
        <v>0.31</v>
      </c>
      <c r="M253" s="334">
        <v>0.27</v>
      </c>
      <c r="O253" s="333">
        <v>90</v>
      </c>
      <c r="P253" s="334">
        <v>1</v>
      </c>
      <c r="Q253" s="334">
        <v>1</v>
      </c>
      <c r="R253" s="335">
        <v>0.98</v>
      </c>
      <c r="S253" s="334">
        <v>0.95</v>
      </c>
      <c r="T253" s="334">
        <v>0.9</v>
      </c>
      <c r="V253" s="333">
        <v>90</v>
      </c>
      <c r="W253" s="334">
        <v>1</v>
      </c>
      <c r="X253" s="334">
        <v>1</v>
      </c>
      <c r="Y253" s="335">
        <v>0.98</v>
      </c>
      <c r="Z253" s="334">
        <v>0.96</v>
      </c>
      <c r="AA253" s="334">
        <v>0.92</v>
      </c>
      <c r="AC253" s="333">
        <v>90</v>
      </c>
      <c r="AD253" s="334">
        <v>1</v>
      </c>
      <c r="AE253" s="334">
        <v>1</v>
      </c>
      <c r="AF253" s="335">
        <v>1</v>
      </c>
      <c r="AG253" s="334">
        <v>0.97</v>
      </c>
      <c r="AH253" s="334">
        <v>0.93</v>
      </c>
      <c r="AJ253" s="333">
        <v>90</v>
      </c>
      <c r="AK253" s="334">
        <v>1</v>
      </c>
      <c r="AL253" s="334">
        <v>1.01</v>
      </c>
      <c r="AM253" s="335">
        <v>0.99</v>
      </c>
      <c r="AN253" s="334">
        <v>0.98</v>
      </c>
      <c r="AO253" s="334">
        <v>0.96</v>
      </c>
      <c r="AQ253" s="333">
        <v>90</v>
      </c>
      <c r="AR253" s="334">
        <v>1</v>
      </c>
      <c r="AS253" s="334">
        <v>1.01</v>
      </c>
      <c r="AT253" s="335">
        <v>1.01</v>
      </c>
      <c r="AU253" s="334">
        <v>0.99</v>
      </c>
      <c r="AV253" s="334">
        <v>0.97</v>
      </c>
      <c r="AX253" s="333">
        <v>90</v>
      </c>
      <c r="AY253" s="334">
        <v>1</v>
      </c>
      <c r="AZ253" s="334">
        <v>1.01</v>
      </c>
      <c r="BA253" s="335">
        <v>1.01</v>
      </c>
      <c r="BB253" s="334">
        <v>0.99</v>
      </c>
      <c r="BC253" s="334">
        <v>0.98</v>
      </c>
      <c r="BE253" s="333">
        <v>90</v>
      </c>
      <c r="BF253" s="334">
        <v>1</v>
      </c>
      <c r="BG253" s="334">
        <v>1.01</v>
      </c>
      <c r="BH253" s="335">
        <v>1.01</v>
      </c>
      <c r="BI253" s="334">
        <v>0.99</v>
      </c>
      <c r="BJ253" s="334">
        <v>0.97</v>
      </c>
      <c r="BL253" s="333">
        <v>90</v>
      </c>
      <c r="BM253" s="334">
        <v>1</v>
      </c>
      <c r="BN253" s="334">
        <v>1.01</v>
      </c>
      <c r="BO253" s="335">
        <v>0.99</v>
      </c>
      <c r="BP253" s="334">
        <v>0.98</v>
      </c>
      <c r="BQ253" s="334">
        <v>0.95</v>
      </c>
      <c r="BS253" s="333">
        <v>90</v>
      </c>
      <c r="BT253" s="334">
        <v>1</v>
      </c>
      <c r="BU253" s="334">
        <v>1</v>
      </c>
      <c r="BV253" s="335">
        <v>0.99</v>
      </c>
      <c r="BW253" s="334">
        <v>0.96</v>
      </c>
      <c r="BX253" s="334">
        <v>0.93</v>
      </c>
      <c r="BZ253" s="333">
        <v>90</v>
      </c>
      <c r="CA253" s="334">
        <v>1</v>
      </c>
      <c r="CB253" s="334">
        <v>1</v>
      </c>
      <c r="CC253" s="335">
        <v>0.98</v>
      </c>
      <c r="CD253" s="334">
        <v>0.95</v>
      </c>
      <c r="CE253" s="334">
        <v>0.9</v>
      </c>
      <c r="CG253" s="333">
        <v>90</v>
      </c>
      <c r="CH253" s="334">
        <v>1</v>
      </c>
      <c r="CI253" s="334">
        <v>1</v>
      </c>
      <c r="CJ253" s="335">
        <v>0.98</v>
      </c>
      <c r="CK253" s="334">
        <v>0.95</v>
      </c>
      <c r="CL253" s="334">
        <v>0.91</v>
      </c>
      <c r="CN253" s="333">
        <v>90</v>
      </c>
      <c r="CO253" s="334">
        <v>1</v>
      </c>
      <c r="CP253" s="334">
        <v>1</v>
      </c>
      <c r="CQ253" s="335">
        <v>0.98</v>
      </c>
      <c r="CR253" s="334">
        <v>0.95</v>
      </c>
      <c r="CS253" s="334">
        <v>0.91</v>
      </c>
    </row>
    <row r="254" spans="3:97" x14ac:dyDescent="0.25">
      <c r="C254" s="333">
        <v>200</v>
      </c>
      <c r="D254" s="334">
        <v>0.9</v>
      </c>
      <c r="E254" s="334">
        <v>0.85</v>
      </c>
      <c r="F254" s="334">
        <v>0.78</v>
      </c>
      <c r="G254" s="335">
        <v>0.7</v>
      </c>
      <c r="H254" s="334">
        <v>0.6</v>
      </c>
      <c r="I254" s="334">
        <v>0.52</v>
      </c>
      <c r="J254" s="334">
        <v>0.45</v>
      </c>
      <c r="K254" s="334">
        <v>0.38</v>
      </c>
      <c r="L254" s="334">
        <v>0.32</v>
      </c>
      <c r="M254" s="334">
        <v>0.28999999999999998</v>
      </c>
      <c r="P254" s="288"/>
      <c r="Q254" s="288"/>
      <c r="R254" s="288"/>
      <c r="S254" s="288"/>
      <c r="T254" s="288"/>
      <c r="W254" s="288"/>
      <c r="X254" s="288"/>
      <c r="Y254" s="288"/>
      <c r="Z254" s="288"/>
      <c r="AA254" s="288"/>
      <c r="AD254" s="288"/>
      <c r="AE254" s="288"/>
      <c r="AF254" s="288"/>
      <c r="AG254" s="288"/>
      <c r="AH254" s="288"/>
      <c r="AK254" s="288"/>
      <c r="AL254" s="288"/>
      <c r="AM254" s="288"/>
      <c r="AN254" s="288"/>
      <c r="AO254" s="288"/>
      <c r="AR254" s="288"/>
      <c r="AS254" s="288"/>
      <c r="AT254" s="288"/>
      <c r="AU254" s="288"/>
      <c r="AV254" s="288"/>
      <c r="AY254" s="288"/>
      <c r="AZ254" s="288"/>
      <c r="BA254" s="288"/>
      <c r="BB254" s="288"/>
      <c r="BC254" s="288"/>
      <c r="BF254" s="288"/>
      <c r="BG254" s="288"/>
      <c r="BH254" s="288"/>
      <c r="BI254" s="288"/>
      <c r="BJ254" s="288"/>
      <c r="BM254" s="288"/>
      <c r="BN254" s="288"/>
      <c r="BO254" s="288"/>
      <c r="BP254" s="288"/>
      <c r="BQ254" s="288"/>
      <c r="BT254" s="288"/>
      <c r="BU254" s="288"/>
      <c r="BV254" s="288"/>
      <c r="BW254" s="288"/>
      <c r="BX254" s="288"/>
      <c r="CA254" s="288"/>
      <c r="CB254" s="288"/>
      <c r="CC254" s="288"/>
      <c r="CD254" s="288"/>
      <c r="CE254" s="288"/>
      <c r="CH254" s="288"/>
      <c r="CI254" s="288"/>
      <c r="CJ254" s="288"/>
      <c r="CK254" s="288"/>
      <c r="CL254" s="288"/>
      <c r="CO254" s="288"/>
      <c r="CP254" s="288"/>
      <c r="CQ254" s="288"/>
      <c r="CR254" s="288"/>
      <c r="CS254" s="288"/>
    </row>
    <row r="255" spans="3:97" x14ac:dyDescent="0.25">
      <c r="C255" s="333">
        <v>210</v>
      </c>
      <c r="D255" s="334">
        <v>0.9</v>
      </c>
      <c r="E255" s="334">
        <v>0.85</v>
      </c>
      <c r="F255" s="334">
        <v>0.79</v>
      </c>
      <c r="G255" s="335">
        <v>0.71</v>
      </c>
      <c r="H255" s="334">
        <v>0.62</v>
      </c>
      <c r="I255" s="334">
        <v>0.54</v>
      </c>
      <c r="J255" s="334">
        <v>0.47</v>
      </c>
      <c r="K255" s="334">
        <v>0.41</v>
      </c>
      <c r="L255" s="334">
        <v>0.36</v>
      </c>
      <c r="M255" s="334">
        <v>0.31</v>
      </c>
      <c r="P255" s="288"/>
      <c r="Q255" s="288"/>
      <c r="R255" s="288"/>
      <c r="S255" s="288"/>
      <c r="T255" s="288"/>
      <c r="W255" s="288"/>
      <c r="X255" s="288"/>
      <c r="Y255" s="288"/>
      <c r="Z255" s="288"/>
      <c r="AA255" s="288"/>
      <c r="AD255" s="288"/>
      <c r="AE255" s="288"/>
      <c r="AF255" s="288"/>
      <c r="AG255" s="288"/>
      <c r="AH255" s="288"/>
      <c r="AK255" s="288"/>
      <c r="AL255" s="288"/>
      <c r="AM255" s="288"/>
      <c r="AN255" s="288"/>
      <c r="AO255" s="288"/>
      <c r="AR255" s="288"/>
      <c r="AS255" s="288"/>
      <c r="AT255" s="288"/>
      <c r="AU255" s="288"/>
      <c r="AV255" s="288"/>
      <c r="AY255" s="288"/>
      <c r="AZ255" s="288"/>
      <c r="BA255" s="288"/>
      <c r="BB255" s="288"/>
      <c r="BC255" s="288"/>
      <c r="BF255" s="288"/>
      <c r="BG255" s="288"/>
      <c r="BH255" s="288"/>
      <c r="BI255" s="288"/>
      <c r="BJ255" s="288"/>
      <c r="BM255" s="288"/>
      <c r="BN255" s="288"/>
      <c r="BO255" s="288"/>
      <c r="BP255" s="288"/>
      <c r="BQ255" s="288"/>
      <c r="BT255" s="288"/>
      <c r="BU255" s="288"/>
      <c r="BV255" s="288"/>
      <c r="BW255" s="288"/>
      <c r="BX255" s="288"/>
      <c r="CA255" s="288"/>
      <c r="CB255" s="288"/>
      <c r="CC255" s="288"/>
      <c r="CD255" s="288"/>
      <c r="CE255" s="288"/>
      <c r="CH255" s="288"/>
      <c r="CI255" s="288"/>
      <c r="CJ255" s="288"/>
      <c r="CK255" s="288"/>
      <c r="CL255" s="288"/>
      <c r="CO255" s="288"/>
      <c r="CP255" s="288"/>
      <c r="CQ255" s="288"/>
      <c r="CR255" s="288"/>
      <c r="CS255" s="288"/>
    </row>
    <row r="256" spans="3:97" x14ac:dyDescent="0.25">
      <c r="C256" s="333">
        <v>220</v>
      </c>
      <c r="D256" s="334">
        <v>0.9</v>
      </c>
      <c r="E256" s="334">
        <v>0.86</v>
      </c>
      <c r="F256" s="334">
        <v>0.8</v>
      </c>
      <c r="G256" s="335">
        <v>0.73</v>
      </c>
      <c r="H256" s="334">
        <v>0.65</v>
      </c>
      <c r="I256" s="334">
        <v>0.56999999999999995</v>
      </c>
      <c r="J256" s="334">
        <v>0.51</v>
      </c>
      <c r="K256" s="334">
        <v>0.45</v>
      </c>
      <c r="L256" s="334">
        <v>0.39</v>
      </c>
      <c r="M256" s="334">
        <v>0.35</v>
      </c>
      <c r="P256" s="288"/>
      <c r="Q256" s="288"/>
      <c r="R256" s="288"/>
      <c r="S256" s="288"/>
      <c r="T256" s="288"/>
      <c r="W256" s="288"/>
      <c r="X256" s="288"/>
      <c r="Y256" s="288"/>
      <c r="Z256" s="288"/>
      <c r="AA256" s="288"/>
      <c r="AD256" s="288"/>
      <c r="AE256" s="288"/>
      <c r="AF256" s="288"/>
      <c r="AG256" s="288"/>
      <c r="AH256" s="288"/>
      <c r="AK256" s="288"/>
      <c r="AL256" s="288"/>
      <c r="AM256" s="288"/>
      <c r="AN256" s="288"/>
      <c r="AO256" s="288"/>
      <c r="AR256" s="288"/>
      <c r="AS256" s="288"/>
      <c r="AT256" s="288"/>
      <c r="AU256" s="288"/>
      <c r="AV256" s="288"/>
      <c r="AY256" s="288"/>
      <c r="AZ256" s="288"/>
      <c r="BA256" s="288"/>
      <c r="BB256" s="288"/>
      <c r="BC256" s="288"/>
      <c r="BF256" s="288"/>
      <c r="BG256" s="288"/>
      <c r="BH256" s="288"/>
      <c r="BI256" s="288"/>
      <c r="BJ256" s="288"/>
      <c r="BM256" s="288"/>
      <c r="BN256" s="288"/>
      <c r="BO256" s="288"/>
      <c r="BP256" s="288"/>
      <c r="BQ256" s="288"/>
      <c r="BT256" s="288"/>
      <c r="BU256" s="288"/>
      <c r="BV256" s="288"/>
      <c r="BW256" s="288"/>
      <c r="BX256" s="288"/>
      <c r="CA256" s="288"/>
      <c r="CB256" s="288"/>
      <c r="CC256" s="288"/>
      <c r="CD256" s="288"/>
      <c r="CE256" s="288"/>
      <c r="CH256" s="288"/>
      <c r="CI256" s="288"/>
      <c r="CJ256" s="288"/>
      <c r="CK256" s="288"/>
      <c r="CL256" s="288"/>
      <c r="CO256" s="288"/>
      <c r="CP256" s="288"/>
      <c r="CQ256" s="288"/>
      <c r="CR256" s="288"/>
      <c r="CS256" s="288"/>
    </row>
    <row r="257" spans="3:97" x14ac:dyDescent="0.25">
      <c r="C257" s="333">
        <v>230</v>
      </c>
      <c r="D257" s="334">
        <v>0.9</v>
      </c>
      <c r="E257" s="334">
        <v>0.86</v>
      </c>
      <c r="F257" s="334">
        <v>0.81</v>
      </c>
      <c r="G257" s="335">
        <v>0.75</v>
      </c>
      <c r="H257" s="334">
        <v>0.68</v>
      </c>
      <c r="I257" s="334">
        <v>0.61</v>
      </c>
      <c r="J257" s="334">
        <v>0.55000000000000004</v>
      </c>
      <c r="K257" s="334">
        <v>0.49</v>
      </c>
      <c r="L257" s="334">
        <v>0.43</v>
      </c>
      <c r="M257" s="334">
        <v>0.38</v>
      </c>
      <c r="P257" s="288"/>
      <c r="Q257" s="288"/>
      <c r="R257" s="288"/>
      <c r="S257" s="288"/>
      <c r="T257" s="288"/>
      <c r="W257" s="288"/>
      <c r="X257" s="288"/>
      <c r="Y257" s="288"/>
      <c r="Z257" s="288"/>
      <c r="AA257" s="288"/>
      <c r="AD257" s="288"/>
      <c r="AE257" s="288"/>
      <c r="AF257" s="288"/>
      <c r="AG257" s="288"/>
      <c r="AH257" s="288"/>
      <c r="AK257" s="288"/>
      <c r="AL257" s="288"/>
      <c r="AM257" s="288"/>
      <c r="AN257" s="288"/>
      <c r="AO257" s="288"/>
      <c r="AR257" s="288"/>
      <c r="AS257" s="288"/>
      <c r="AT257" s="288"/>
      <c r="AU257" s="288"/>
      <c r="AV257" s="288"/>
      <c r="AY257" s="288"/>
      <c r="AZ257" s="288"/>
      <c r="BA257" s="288"/>
      <c r="BB257" s="288"/>
      <c r="BC257" s="288"/>
      <c r="BF257" s="288"/>
      <c r="BG257" s="288"/>
      <c r="BH257" s="288"/>
      <c r="BI257" s="288"/>
      <c r="BJ257" s="288"/>
      <c r="BM257" s="288"/>
      <c r="BN257" s="288"/>
      <c r="BO257" s="288"/>
      <c r="BP257" s="288"/>
      <c r="BQ257" s="288"/>
      <c r="BT257" s="288"/>
      <c r="BU257" s="288"/>
      <c r="BV257" s="288"/>
      <c r="BW257" s="288"/>
      <c r="BX257" s="288"/>
      <c r="CA257" s="288"/>
      <c r="CB257" s="288"/>
      <c r="CC257" s="288"/>
      <c r="CD257" s="288"/>
      <c r="CE257" s="288"/>
      <c r="CH257" s="288"/>
      <c r="CI257" s="288"/>
      <c r="CJ257" s="288"/>
      <c r="CK257" s="288"/>
      <c r="CL257" s="288"/>
      <c r="CO257" s="288"/>
      <c r="CP257" s="288"/>
      <c r="CQ257" s="288"/>
      <c r="CR257" s="288"/>
      <c r="CS257" s="288"/>
    </row>
    <row r="258" spans="3:97" x14ac:dyDescent="0.25">
      <c r="C258" s="333">
        <v>240</v>
      </c>
      <c r="D258" s="334">
        <v>0.9</v>
      </c>
      <c r="E258" s="334">
        <v>0.87</v>
      </c>
      <c r="F258" s="334">
        <v>0.83</v>
      </c>
      <c r="G258" s="335">
        <v>0.77</v>
      </c>
      <c r="H258" s="334">
        <v>0.71</v>
      </c>
      <c r="I258" s="334">
        <v>0.65</v>
      </c>
      <c r="J258" s="334">
        <v>0.59</v>
      </c>
      <c r="K258" s="334">
        <v>0.53</v>
      </c>
      <c r="L258" s="334">
        <v>0.48</v>
      </c>
      <c r="M258" s="334">
        <v>0.42</v>
      </c>
      <c r="P258" s="288"/>
      <c r="Q258" s="288"/>
      <c r="R258" s="288"/>
      <c r="S258" s="288"/>
      <c r="T258" s="288"/>
      <c r="W258" s="288"/>
      <c r="X258" s="288"/>
      <c r="Y258" s="288"/>
      <c r="Z258" s="288"/>
      <c r="AA258" s="288"/>
      <c r="AD258" s="288"/>
      <c r="AE258" s="288"/>
      <c r="AF258" s="288"/>
      <c r="AG258" s="288"/>
      <c r="AH258" s="288"/>
      <c r="AK258" s="288"/>
      <c r="AL258" s="288"/>
      <c r="AM258" s="288"/>
      <c r="AN258" s="288"/>
      <c r="AO258" s="288"/>
      <c r="AR258" s="288"/>
      <c r="AS258" s="288"/>
      <c r="AT258" s="288"/>
      <c r="AU258" s="288"/>
      <c r="AV258" s="288"/>
      <c r="AY258" s="288"/>
      <c r="AZ258" s="288"/>
      <c r="BA258" s="288"/>
      <c r="BB258" s="288"/>
      <c r="BC258" s="288"/>
      <c r="BF258" s="288"/>
      <c r="BG258" s="288"/>
      <c r="BH258" s="288"/>
      <c r="BI258" s="288"/>
      <c r="BJ258" s="288"/>
      <c r="BM258" s="288"/>
      <c r="BN258" s="288"/>
      <c r="BO258" s="288"/>
      <c r="BP258" s="288"/>
      <c r="BQ258" s="288"/>
      <c r="BT258" s="288"/>
      <c r="BU258" s="288"/>
      <c r="BV258" s="288"/>
      <c r="BW258" s="288"/>
      <c r="BX258" s="288"/>
      <c r="CA258" s="288"/>
      <c r="CB258" s="288"/>
      <c r="CC258" s="288"/>
      <c r="CD258" s="288"/>
      <c r="CE258" s="288"/>
      <c r="CH258" s="288"/>
      <c r="CI258" s="288"/>
      <c r="CJ258" s="288"/>
      <c r="CK258" s="288"/>
      <c r="CL258" s="288"/>
      <c r="CO258" s="288"/>
      <c r="CP258" s="288"/>
      <c r="CQ258" s="288"/>
      <c r="CR258" s="288"/>
      <c r="CS258" s="288"/>
    </row>
    <row r="259" spans="3:97" x14ac:dyDescent="0.25">
      <c r="C259" s="333">
        <v>250</v>
      </c>
      <c r="D259" s="334">
        <v>0.9</v>
      </c>
      <c r="E259" s="334">
        <v>0.88</v>
      </c>
      <c r="F259" s="334">
        <v>0.84</v>
      </c>
      <c r="G259" s="335">
        <v>0.8</v>
      </c>
      <c r="H259" s="334">
        <v>0.74</v>
      </c>
      <c r="I259" s="334">
        <v>0.69</v>
      </c>
      <c r="J259" s="334">
        <v>0.63</v>
      </c>
      <c r="K259" s="334">
        <v>0.56999999999999995</v>
      </c>
      <c r="L259" s="334">
        <v>0.52</v>
      </c>
      <c r="M259" s="334">
        <v>0.46</v>
      </c>
      <c r="P259" s="288"/>
      <c r="Q259" s="288"/>
      <c r="R259" s="288"/>
      <c r="S259" s="288"/>
      <c r="T259" s="288"/>
      <c r="W259" s="288"/>
      <c r="X259" s="288"/>
      <c r="Y259" s="288"/>
      <c r="Z259" s="288"/>
      <c r="AA259" s="288"/>
      <c r="AD259" s="288"/>
      <c r="AE259" s="288"/>
      <c r="AF259" s="288"/>
      <c r="AG259" s="288"/>
      <c r="AH259" s="288"/>
      <c r="AK259" s="288"/>
      <c r="AL259" s="288"/>
      <c r="AM259" s="288"/>
      <c r="AN259" s="288"/>
      <c r="AO259" s="288"/>
      <c r="AR259" s="288"/>
      <c r="AS259" s="288"/>
      <c r="AT259" s="288"/>
      <c r="AU259" s="288"/>
      <c r="AV259" s="288"/>
      <c r="AY259" s="288"/>
      <c r="AZ259" s="288"/>
      <c r="BA259" s="288"/>
      <c r="BB259" s="288"/>
      <c r="BC259" s="288"/>
      <c r="BF259" s="288"/>
      <c r="BG259" s="288"/>
      <c r="BH259" s="288"/>
      <c r="BI259" s="288"/>
      <c r="BJ259" s="288"/>
      <c r="BM259" s="288"/>
      <c r="BN259" s="288"/>
      <c r="BO259" s="288"/>
      <c r="BP259" s="288"/>
      <c r="BQ259" s="288"/>
      <c r="BT259" s="288"/>
      <c r="BU259" s="288"/>
      <c r="BV259" s="288"/>
      <c r="BW259" s="288"/>
      <c r="BX259" s="288"/>
      <c r="CA259" s="288"/>
      <c r="CB259" s="288"/>
      <c r="CC259" s="288"/>
      <c r="CD259" s="288"/>
      <c r="CE259" s="288"/>
      <c r="CH259" s="288"/>
      <c r="CI259" s="288"/>
      <c r="CJ259" s="288"/>
      <c r="CK259" s="288"/>
      <c r="CL259" s="288"/>
      <c r="CO259" s="288"/>
      <c r="CP259" s="288"/>
      <c r="CQ259" s="288"/>
      <c r="CR259" s="288"/>
      <c r="CS259" s="288"/>
    </row>
    <row r="260" spans="3:97" x14ac:dyDescent="0.25">
      <c r="C260" s="333">
        <v>260</v>
      </c>
      <c r="D260" s="334">
        <v>0.9</v>
      </c>
      <c r="E260" s="334">
        <v>0.89</v>
      </c>
      <c r="F260" s="334">
        <v>0.86</v>
      </c>
      <c r="G260" s="335">
        <v>0.82</v>
      </c>
      <c r="H260" s="334">
        <v>0.78</v>
      </c>
      <c r="I260" s="334">
        <v>0.73</v>
      </c>
      <c r="J260" s="334">
        <v>0.67</v>
      </c>
      <c r="K260" s="334">
        <v>0.61</v>
      </c>
      <c r="L260" s="334">
        <v>0.55000000000000004</v>
      </c>
      <c r="M260" s="334">
        <v>0.49</v>
      </c>
      <c r="P260" s="288"/>
      <c r="Q260" s="288"/>
      <c r="R260" s="288"/>
      <c r="S260" s="288"/>
      <c r="T260" s="288"/>
      <c r="W260" s="288"/>
      <c r="X260" s="288"/>
      <c r="Y260" s="288"/>
      <c r="Z260" s="288"/>
      <c r="AA260" s="288"/>
      <c r="AD260" s="288"/>
      <c r="AE260" s="288"/>
      <c r="AF260" s="288"/>
      <c r="AG260" s="288"/>
      <c r="AH260" s="288"/>
      <c r="AK260" s="288"/>
      <c r="AL260" s="288"/>
      <c r="AM260" s="288"/>
      <c r="AN260" s="288"/>
      <c r="AO260" s="288"/>
      <c r="AR260" s="288"/>
      <c r="AS260" s="288"/>
      <c r="AT260" s="288"/>
      <c r="AU260" s="288"/>
      <c r="AV260" s="288"/>
      <c r="AY260" s="288"/>
      <c r="AZ260" s="288"/>
      <c r="BA260" s="288"/>
      <c r="BB260" s="288"/>
      <c r="BC260" s="288"/>
      <c r="BF260" s="288"/>
      <c r="BG260" s="288"/>
      <c r="BH260" s="288"/>
      <c r="BI260" s="288"/>
      <c r="BJ260" s="288"/>
      <c r="BM260" s="288"/>
      <c r="BN260" s="288"/>
      <c r="BO260" s="288"/>
      <c r="BP260" s="288"/>
      <c r="BQ260" s="288"/>
      <c r="BT260" s="288"/>
      <c r="BU260" s="288"/>
      <c r="BV260" s="288"/>
      <c r="BW260" s="288"/>
      <c r="BX260" s="288"/>
      <c r="CA260" s="288"/>
      <c r="CB260" s="288"/>
      <c r="CC260" s="288"/>
      <c r="CD260" s="288"/>
      <c r="CE260" s="288"/>
      <c r="CH260" s="288"/>
      <c r="CI260" s="288"/>
      <c r="CJ260" s="288"/>
      <c r="CK260" s="288"/>
      <c r="CL260" s="288"/>
      <c r="CO260" s="288"/>
      <c r="CP260" s="288"/>
      <c r="CQ260" s="288"/>
      <c r="CR260" s="288"/>
      <c r="CS260" s="288"/>
    </row>
    <row r="261" spans="3:97" x14ac:dyDescent="0.25">
      <c r="C261" s="333">
        <v>270</v>
      </c>
      <c r="D261" s="334">
        <v>0.9</v>
      </c>
      <c r="E261" s="334">
        <v>0.9</v>
      </c>
      <c r="F261" s="334">
        <v>0.88</v>
      </c>
      <c r="G261" s="335">
        <v>0.85</v>
      </c>
      <c r="H261" s="334">
        <v>0.81</v>
      </c>
      <c r="I261" s="334">
        <v>0.76</v>
      </c>
      <c r="J261" s="334">
        <v>0.71</v>
      </c>
      <c r="K261" s="334">
        <v>0.65</v>
      </c>
      <c r="L261" s="334">
        <v>0.59</v>
      </c>
      <c r="M261" s="334">
        <v>0.52</v>
      </c>
      <c r="P261" s="288"/>
      <c r="Q261" s="288"/>
      <c r="R261" s="288"/>
      <c r="S261" s="288"/>
      <c r="T261" s="288"/>
      <c r="W261" s="288"/>
      <c r="X261" s="288"/>
      <c r="Y261" s="288"/>
      <c r="Z261" s="288"/>
      <c r="AA261" s="288"/>
      <c r="AD261" s="288"/>
      <c r="AE261" s="288"/>
      <c r="AF261" s="288"/>
      <c r="AG261" s="288"/>
      <c r="AH261" s="288"/>
      <c r="AK261" s="288"/>
      <c r="AL261" s="288"/>
      <c r="AM261" s="288"/>
      <c r="AN261" s="288"/>
      <c r="AO261" s="288"/>
      <c r="AR261" s="288"/>
      <c r="AS261" s="288"/>
      <c r="AT261" s="288"/>
      <c r="AU261" s="288"/>
      <c r="AV261" s="288"/>
      <c r="AY261" s="288"/>
      <c r="AZ261" s="288"/>
      <c r="BA261" s="288"/>
      <c r="BB261" s="288"/>
      <c r="BC261" s="288"/>
      <c r="BF261" s="288"/>
      <c r="BG261" s="288"/>
      <c r="BH261" s="288"/>
      <c r="BI261" s="288"/>
      <c r="BJ261" s="288"/>
      <c r="BM261" s="288"/>
      <c r="BN261" s="288"/>
      <c r="BO261" s="288"/>
      <c r="BP261" s="288"/>
      <c r="BQ261" s="288"/>
      <c r="BT261" s="288"/>
      <c r="BU261" s="288"/>
      <c r="BV261" s="288"/>
      <c r="BW261" s="288"/>
      <c r="BX261" s="288"/>
      <c r="CA261" s="288"/>
      <c r="CB261" s="288"/>
      <c r="CC261" s="288"/>
      <c r="CD261" s="288"/>
      <c r="CE261" s="288"/>
      <c r="CH261" s="288"/>
      <c r="CI261" s="288"/>
      <c r="CJ261" s="288"/>
      <c r="CK261" s="288"/>
      <c r="CL261" s="288"/>
      <c r="CO261" s="288"/>
      <c r="CP261" s="288"/>
      <c r="CQ261" s="288"/>
      <c r="CR261" s="288"/>
      <c r="CS261" s="288"/>
    </row>
    <row r="262" spans="3:97" x14ac:dyDescent="0.25">
      <c r="C262" s="333">
        <v>280</v>
      </c>
      <c r="D262" s="334">
        <v>0.9</v>
      </c>
      <c r="E262" s="334">
        <v>0.91</v>
      </c>
      <c r="F262" s="334">
        <v>0.9</v>
      </c>
      <c r="G262" s="335">
        <v>0.87</v>
      </c>
      <c r="H262" s="334">
        <v>0.84</v>
      </c>
      <c r="I262" s="334">
        <v>0.79</v>
      </c>
      <c r="J262" s="334">
        <v>0.74</v>
      </c>
      <c r="K262" s="334">
        <v>0.68</v>
      </c>
      <c r="L262" s="334">
        <v>0.61</v>
      </c>
      <c r="M262" s="334">
        <v>0.55000000000000004</v>
      </c>
      <c r="P262" s="288"/>
      <c r="Q262" s="288"/>
      <c r="R262" s="288"/>
      <c r="S262" s="288"/>
      <c r="T262" s="288"/>
      <c r="W262" s="288"/>
      <c r="X262" s="288"/>
      <c r="Y262" s="288"/>
      <c r="Z262" s="288"/>
      <c r="AA262" s="288"/>
      <c r="AD262" s="288"/>
      <c r="AE262" s="288"/>
      <c r="AF262" s="288"/>
      <c r="AG262" s="288"/>
      <c r="AH262" s="288"/>
      <c r="AK262" s="288"/>
      <c r="AL262" s="288"/>
      <c r="AM262" s="288"/>
      <c r="AN262" s="288"/>
      <c r="AO262" s="288"/>
      <c r="AR262" s="288"/>
      <c r="AS262" s="288"/>
      <c r="AT262" s="288"/>
      <c r="AU262" s="288"/>
      <c r="AV262" s="288"/>
      <c r="AY262" s="288"/>
      <c r="AZ262" s="288"/>
      <c r="BA262" s="288"/>
      <c r="BB262" s="288"/>
      <c r="BC262" s="288"/>
      <c r="BF262" s="288"/>
      <c r="BG262" s="288"/>
      <c r="BH262" s="288"/>
      <c r="BI262" s="288"/>
      <c r="BJ262" s="288"/>
      <c r="BM262" s="288"/>
      <c r="BN262" s="288"/>
      <c r="BO262" s="288"/>
      <c r="BP262" s="288"/>
      <c r="BQ262" s="288"/>
      <c r="BT262" s="288"/>
      <c r="BU262" s="288"/>
      <c r="BV262" s="288"/>
      <c r="BW262" s="288"/>
      <c r="BX262" s="288"/>
      <c r="CA262" s="288"/>
      <c r="CB262" s="288"/>
      <c r="CC262" s="288"/>
      <c r="CD262" s="288"/>
      <c r="CE262" s="288"/>
      <c r="CH262" s="288"/>
      <c r="CI262" s="288"/>
      <c r="CJ262" s="288"/>
      <c r="CK262" s="288"/>
      <c r="CL262" s="288"/>
      <c r="CO262" s="288"/>
      <c r="CP262" s="288"/>
      <c r="CQ262" s="288"/>
      <c r="CR262" s="288"/>
      <c r="CS262" s="288"/>
    </row>
    <row r="263" spans="3:97" x14ac:dyDescent="0.25">
      <c r="C263" s="333">
        <v>290</v>
      </c>
      <c r="D263" s="334">
        <v>0.9</v>
      </c>
      <c r="E263" s="334">
        <v>0.92</v>
      </c>
      <c r="F263" s="334">
        <v>0.91</v>
      </c>
      <c r="G263" s="335">
        <v>0.9</v>
      </c>
      <c r="H263" s="334">
        <v>0.86</v>
      </c>
      <c r="I263" s="334">
        <v>0.82</v>
      </c>
      <c r="J263" s="334">
        <v>0.77</v>
      </c>
      <c r="K263" s="334">
        <v>0.71</v>
      </c>
      <c r="L263" s="334">
        <v>0.64</v>
      </c>
      <c r="M263" s="334">
        <v>0.56000000000000005</v>
      </c>
      <c r="P263" s="288"/>
      <c r="Q263" s="288"/>
      <c r="R263" s="288"/>
      <c r="S263" s="288"/>
      <c r="T263" s="288"/>
      <c r="W263" s="288"/>
      <c r="X263" s="288"/>
      <c r="Y263" s="288"/>
      <c r="Z263" s="288"/>
      <c r="AA263" s="288"/>
      <c r="AD263" s="288"/>
      <c r="AE263" s="288"/>
      <c r="AF263" s="288"/>
      <c r="AG263" s="288"/>
      <c r="AH263" s="288"/>
      <c r="AK263" s="288"/>
      <c r="AL263" s="288"/>
      <c r="AM263" s="288"/>
      <c r="AN263" s="288"/>
      <c r="AO263" s="288"/>
      <c r="AR263" s="288"/>
      <c r="AS263" s="288"/>
      <c r="AT263" s="288"/>
      <c r="AU263" s="288"/>
      <c r="AV263" s="288"/>
      <c r="AY263" s="288"/>
      <c r="AZ263" s="288"/>
      <c r="BA263" s="288"/>
      <c r="BB263" s="288"/>
      <c r="BC263" s="288"/>
      <c r="BF263" s="288"/>
      <c r="BG263" s="288"/>
      <c r="BH263" s="288"/>
      <c r="BI263" s="288"/>
      <c r="BJ263" s="288"/>
      <c r="BM263" s="288"/>
      <c r="BN263" s="288"/>
      <c r="BO263" s="288"/>
      <c r="BP263" s="288"/>
      <c r="BQ263" s="288"/>
      <c r="BT263" s="288"/>
      <c r="BU263" s="288"/>
      <c r="BV263" s="288"/>
      <c r="BW263" s="288"/>
      <c r="BX263" s="288"/>
      <c r="CA263" s="288"/>
      <c r="CB263" s="288"/>
      <c r="CC263" s="288"/>
      <c r="CD263" s="288"/>
      <c r="CE263" s="288"/>
      <c r="CH263" s="288"/>
      <c r="CI263" s="288"/>
      <c r="CJ263" s="288"/>
      <c r="CK263" s="288"/>
      <c r="CL263" s="288"/>
      <c r="CO263" s="288"/>
      <c r="CP263" s="288"/>
      <c r="CQ263" s="288"/>
      <c r="CR263" s="288"/>
      <c r="CS263" s="288"/>
    </row>
    <row r="264" spans="3:97" x14ac:dyDescent="0.25">
      <c r="C264" s="333">
        <v>300</v>
      </c>
      <c r="D264" s="334">
        <v>0.9</v>
      </c>
      <c r="E264" s="334">
        <v>0.92</v>
      </c>
      <c r="F264" s="334">
        <v>0.93</v>
      </c>
      <c r="G264" s="335">
        <v>0.92</v>
      </c>
      <c r="H264" s="334">
        <v>0.89</v>
      </c>
      <c r="I264" s="334">
        <v>0.85</v>
      </c>
      <c r="J264" s="334">
        <v>0.79</v>
      </c>
      <c r="K264" s="334">
        <v>0.73</v>
      </c>
      <c r="L264" s="334">
        <v>0.66</v>
      </c>
      <c r="M264" s="334">
        <v>0.57999999999999996</v>
      </c>
      <c r="P264" s="288"/>
      <c r="Q264" s="288"/>
      <c r="R264" s="288"/>
      <c r="S264" s="288"/>
      <c r="T264" s="288"/>
      <c r="W264" s="288"/>
      <c r="X264" s="288"/>
      <c r="Y264" s="288"/>
      <c r="Z264" s="288"/>
      <c r="AA264" s="288"/>
      <c r="AD264" s="288"/>
      <c r="AE264" s="288"/>
      <c r="AF264" s="288"/>
      <c r="AG264" s="288"/>
      <c r="AH264" s="288"/>
      <c r="AK264" s="288"/>
      <c r="AL264" s="288"/>
      <c r="AM264" s="288"/>
      <c r="AN264" s="288"/>
      <c r="AO264" s="288"/>
      <c r="AR264" s="288"/>
      <c r="AS264" s="288"/>
      <c r="AT264" s="288"/>
      <c r="AU264" s="288"/>
      <c r="AV264" s="288"/>
      <c r="AY264" s="288"/>
      <c r="AZ264" s="288"/>
      <c r="BA264" s="288"/>
      <c r="BB264" s="288"/>
      <c r="BC264" s="288"/>
      <c r="BF264" s="288"/>
      <c r="BG264" s="288"/>
      <c r="BH264" s="288"/>
      <c r="BI264" s="288"/>
      <c r="BJ264" s="288"/>
      <c r="BM264" s="288"/>
      <c r="BN264" s="288"/>
      <c r="BO264" s="288"/>
      <c r="BP264" s="288"/>
      <c r="BQ264" s="288"/>
      <c r="BT264" s="288"/>
      <c r="BU264" s="288"/>
      <c r="BV264" s="288"/>
      <c r="BW264" s="288"/>
      <c r="BX264" s="288"/>
      <c r="CA264" s="288"/>
      <c r="CB264" s="288"/>
      <c r="CC264" s="288"/>
      <c r="CD264" s="288"/>
      <c r="CE264" s="288"/>
      <c r="CH264" s="288"/>
      <c r="CI264" s="288"/>
      <c r="CJ264" s="288"/>
      <c r="CK264" s="288"/>
      <c r="CL264" s="288"/>
      <c r="CO264" s="288"/>
      <c r="CP264" s="288"/>
      <c r="CQ264" s="288"/>
      <c r="CR264" s="288"/>
      <c r="CS264" s="288"/>
    </row>
    <row r="265" spans="3:97" x14ac:dyDescent="0.25">
      <c r="C265" s="333">
        <v>310</v>
      </c>
      <c r="D265" s="334">
        <v>0.9</v>
      </c>
      <c r="E265" s="334">
        <v>0.93</v>
      </c>
      <c r="F265" s="334">
        <v>0.94</v>
      </c>
      <c r="G265" s="335">
        <v>0.94</v>
      </c>
      <c r="H265" s="334">
        <v>0.91</v>
      </c>
      <c r="I265" s="334">
        <v>0.87</v>
      </c>
      <c r="J265" s="334">
        <v>0.82</v>
      </c>
      <c r="K265" s="334">
        <v>0.75</v>
      </c>
      <c r="L265" s="334">
        <v>0.67</v>
      </c>
      <c r="M265" s="334">
        <v>0.59</v>
      </c>
      <c r="P265" s="288"/>
      <c r="Q265" s="288"/>
      <c r="R265" s="288"/>
      <c r="S265" s="288"/>
      <c r="T265" s="288"/>
      <c r="W265" s="288"/>
      <c r="X265" s="288"/>
      <c r="Y265" s="288"/>
      <c r="Z265" s="288"/>
      <c r="AA265" s="288"/>
      <c r="AD265" s="288"/>
      <c r="AE265" s="288"/>
      <c r="AF265" s="288"/>
      <c r="AG265" s="288"/>
      <c r="AH265" s="288"/>
      <c r="AK265" s="288"/>
      <c r="AL265" s="288"/>
      <c r="AM265" s="288"/>
      <c r="AN265" s="288"/>
      <c r="AO265" s="288"/>
      <c r="AR265" s="288"/>
      <c r="AS265" s="288"/>
      <c r="AT265" s="288"/>
      <c r="AU265" s="288"/>
      <c r="AV265" s="288"/>
      <c r="AY265" s="288"/>
      <c r="AZ265" s="288"/>
      <c r="BA265" s="288"/>
      <c r="BB265" s="288"/>
      <c r="BC265" s="288"/>
      <c r="BF265" s="288"/>
      <c r="BG265" s="288"/>
      <c r="BH265" s="288"/>
      <c r="BI265" s="288"/>
      <c r="BJ265" s="288"/>
      <c r="BM265" s="288"/>
      <c r="BN265" s="288"/>
      <c r="BO265" s="288"/>
      <c r="BP265" s="288"/>
      <c r="BQ265" s="288"/>
      <c r="BT265" s="288"/>
      <c r="BU265" s="288"/>
      <c r="BV265" s="288"/>
      <c r="BW265" s="288"/>
      <c r="BX265" s="288"/>
      <c r="CA265" s="288"/>
      <c r="CB265" s="288"/>
      <c r="CC265" s="288"/>
      <c r="CD265" s="288"/>
      <c r="CE265" s="288"/>
      <c r="CH265" s="288"/>
      <c r="CI265" s="288"/>
      <c r="CJ265" s="288"/>
      <c r="CK265" s="288"/>
      <c r="CL265" s="288"/>
      <c r="CO265" s="288"/>
      <c r="CP265" s="288"/>
      <c r="CQ265" s="288"/>
      <c r="CR265" s="288"/>
      <c r="CS265" s="288"/>
    </row>
    <row r="266" spans="3:97" x14ac:dyDescent="0.25">
      <c r="C266" s="333">
        <v>320</v>
      </c>
      <c r="D266" s="334">
        <v>0.9</v>
      </c>
      <c r="E266" s="334">
        <v>0.94</v>
      </c>
      <c r="F266" s="334">
        <v>0.96</v>
      </c>
      <c r="G266" s="335">
        <v>0.96</v>
      </c>
      <c r="H266" s="334">
        <v>0.93</v>
      </c>
      <c r="I266" s="334">
        <v>0.89</v>
      </c>
      <c r="J266" s="334">
        <v>0.84</v>
      </c>
      <c r="K266" s="334">
        <v>0.77</v>
      </c>
      <c r="L266" s="334">
        <v>0.69</v>
      </c>
      <c r="M266" s="334">
        <v>0.59</v>
      </c>
      <c r="P266" s="288"/>
      <c r="Q266" s="288"/>
      <c r="R266" s="288"/>
      <c r="S266" s="288"/>
      <c r="T266" s="288"/>
      <c r="W266" s="288"/>
      <c r="X266" s="288"/>
      <c r="Y266" s="288"/>
      <c r="Z266" s="288"/>
      <c r="AA266" s="288"/>
      <c r="AD266" s="288"/>
      <c r="AE266" s="288"/>
      <c r="AF266" s="288"/>
      <c r="AG266" s="288"/>
      <c r="AH266" s="288"/>
      <c r="AK266" s="288"/>
      <c r="AL266" s="288"/>
      <c r="AM266" s="288"/>
      <c r="AN266" s="288"/>
      <c r="AO266" s="288"/>
      <c r="AR266" s="288"/>
      <c r="AS266" s="288"/>
      <c r="AT266" s="288"/>
      <c r="AU266" s="288"/>
      <c r="AV266" s="288"/>
      <c r="AY266" s="288"/>
      <c r="AZ266" s="288"/>
      <c r="BA266" s="288"/>
      <c r="BB266" s="288"/>
      <c r="BC266" s="288"/>
      <c r="BF266" s="288"/>
      <c r="BG266" s="288"/>
      <c r="BH266" s="288"/>
      <c r="BI266" s="288"/>
      <c r="BJ266" s="288"/>
      <c r="BM266" s="288"/>
      <c r="BN266" s="288"/>
      <c r="BO266" s="288"/>
      <c r="BP266" s="288"/>
      <c r="BQ266" s="288"/>
      <c r="BT266" s="288"/>
      <c r="BU266" s="288"/>
      <c r="BV266" s="288"/>
      <c r="BW266" s="288"/>
      <c r="BX266" s="288"/>
      <c r="CA266" s="288"/>
      <c r="CB266" s="288"/>
      <c r="CC266" s="288"/>
      <c r="CD266" s="288"/>
      <c r="CE266" s="288"/>
      <c r="CH266" s="288"/>
      <c r="CI266" s="288"/>
      <c r="CJ266" s="288"/>
      <c r="CK266" s="288"/>
      <c r="CL266" s="288"/>
      <c r="CO266" s="288"/>
      <c r="CP266" s="288"/>
      <c r="CQ266" s="288"/>
      <c r="CR266" s="288"/>
      <c r="CS266" s="288"/>
    </row>
    <row r="267" spans="3:97" x14ac:dyDescent="0.25">
      <c r="C267" s="333">
        <v>330</v>
      </c>
      <c r="D267" s="334">
        <v>0.9</v>
      </c>
      <c r="E267" s="334">
        <v>0.95</v>
      </c>
      <c r="F267" s="334">
        <v>0.97</v>
      </c>
      <c r="G267" s="335">
        <v>0.97</v>
      </c>
      <c r="H267" s="334">
        <v>0.95</v>
      </c>
      <c r="I267" s="334">
        <v>0.91</v>
      </c>
      <c r="J267" s="334">
        <v>0.85</v>
      </c>
      <c r="K267" s="334">
        <v>0.78</v>
      </c>
      <c r="L267" s="334">
        <v>0.69</v>
      </c>
      <c r="M267" s="334">
        <v>0.6</v>
      </c>
      <c r="P267" s="288"/>
      <c r="Q267" s="288"/>
      <c r="R267" s="288"/>
      <c r="S267" s="288"/>
      <c r="T267" s="288"/>
      <c r="W267" s="288"/>
      <c r="X267" s="288"/>
      <c r="Y267" s="288"/>
      <c r="Z267" s="288"/>
      <c r="AA267" s="288"/>
      <c r="AD267" s="288"/>
      <c r="AE267" s="288"/>
      <c r="AF267" s="288"/>
      <c r="AG267" s="288"/>
      <c r="AH267" s="288"/>
      <c r="AK267" s="288"/>
      <c r="AL267" s="288"/>
      <c r="AM267" s="288"/>
      <c r="AN267" s="288"/>
      <c r="AO267" s="288"/>
      <c r="AR267" s="288"/>
      <c r="AS267" s="288"/>
      <c r="AT267" s="288"/>
      <c r="AU267" s="288"/>
      <c r="AV267" s="288"/>
      <c r="AY267" s="288"/>
      <c r="AZ267" s="288"/>
      <c r="BA267" s="288"/>
      <c r="BB267" s="288"/>
      <c r="BC267" s="288"/>
      <c r="BF267" s="288"/>
      <c r="BG267" s="288"/>
      <c r="BH267" s="288"/>
      <c r="BI267" s="288"/>
      <c r="BJ267" s="288"/>
      <c r="BM267" s="288"/>
      <c r="BN267" s="288"/>
      <c r="BO267" s="288"/>
      <c r="BP267" s="288"/>
      <c r="BQ267" s="288"/>
      <c r="BT267" s="288"/>
      <c r="BU267" s="288"/>
      <c r="BV267" s="288"/>
      <c r="BW267" s="288"/>
      <c r="BX267" s="288"/>
      <c r="CA267" s="288"/>
      <c r="CB267" s="288"/>
      <c r="CC267" s="288"/>
      <c r="CD267" s="288"/>
      <c r="CE267" s="288"/>
      <c r="CH267" s="288"/>
      <c r="CI267" s="288"/>
      <c r="CJ267" s="288"/>
      <c r="CK267" s="288"/>
      <c r="CL267" s="288"/>
      <c r="CO267" s="288"/>
      <c r="CP267" s="288"/>
      <c r="CQ267" s="288"/>
      <c r="CR267" s="288"/>
      <c r="CS267" s="288"/>
    </row>
    <row r="268" spans="3:97" x14ac:dyDescent="0.25">
      <c r="C268" s="333">
        <v>340</v>
      </c>
      <c r="D268" s="334">
        <v>0.9</v>
      </c>
      <c r="E268" s="334">
        <v>0.95</v>
      </c>
      <c r="F268" s="334">
        <v>0.98</v>
      </c>
      <c r="G268" s="335">
        <v>0.98</v>
      </c>
      <c r="H268" s="334">
        <v>0.97</v>
      </c>
      <c r="I268" s="334">
        <v>0.93</v>
      </c>
      <c r="J268" s="334">
        <v>0.87</v>
      </c>
      <c r="K268" s="334">
        <v>0.79</v>
      </c>
      <c r="L268" s="334">
        <v>0.7</v>
      </c>
      <c r="M268" s="334">
        <v>0.6</v>
      </c>
      <c r="P268" s="288"/>
      <c r="Q268" s="288"/>
      <c r="R268" s="288"/>
      <c r="S268" s="288"/>
      <c r="T268" s="288"/>
      <c r="W268" s="288"/>
      <c r="X268" s="288"/>
      <c r="Y268" s="288"/>
      <c r="Z268" s="288"/>
      <c r="AA268" s="288"/>
      <c r="AD268" s="288"/>
      <c r="AE268" s="288"/>
      <c r="AF268" s="288"/>
      <c r="AG268" s="288"/>
      <c r="AH268" s="288"/>
      <c r="AK268" s="288"/>
      <c r="AL268" s="288"/>
      <c r="AM268" s="288"/>
      <c r="AN268" s="288"/>
      <c r="AO268" s="288"/>
      <c r="AR268" s="288"/>
      <c r="AS268" s="288"/>
      <c r="AT268" s="288"/>
      <c r="AU268" s="288"/>
      <c r="AV268" s="288"/>
      <c r="AY268" s="288"/>
      <c r="AZ268" s="288"/>
      <c r="BA268" s="288"/>
      <c r="BB268" s="288"/>
      <c r="BC268" s="288"/>
      <c r="BF268" s="288"/>
      <c r="BG268" s="288"/>
      <c r="BH268" s="288"/>
      <c r="BI268" s="288"/>
      <c r="BJ268" s="288"/>
      <c r="BM268" s="288"/>
      <c r="BN268" s="288"/>
      <c r="BO268" s="288"/>
      <c r="BP268" s="288"/>
      <c r="BQ268" s="288"/>
      <c r="BT268" s="288"/>
      <c r="BU268" s="288"/>
      <c r="BV268" s="288"/>
      <c r="BW268" s="288"/>
      <c r="BX268" s="288"/>
      <c r="CA268" s="288"/>
      <c r="CB268" s="288"/>
      <c r="CC268" s="288"/>
      <c r="CD268" s="288"/>
      <c r="CE268" s="288"/>
      <c r="CH268" s="288"/>
      <c r="CI268" s="288"/>
      <c r="CJ268" s="288"/>
      <c r="CK268" s="288"/>
      <c r="CL268" s="288"/>
      <c r="CO268" s="288"/>
      <c r="CP268" s="288"/>
      <c r="CQ268" s="288"/>
      <c r="CR268" s="288"/>
      <c r="CS268" s="288"/>
    </row>
    <row r="269" spans="3:97" x14ac:dyDescent="0.25">
      <c r="C269" s="333">
        <v>350</v>
      </c>
      <c r="D269" s="334">
        <v>0.9</v>
      </c>
      <c r="E269" s="334">
        <v>0.95</v>
      </c>
      <c r="F269" s="334">
        <v>0.98</v>
      </c>
      <c r="G269" s="335">
        <v>0.99</v>
      </c>
      <c r="H269" s="334">
        <v>0.98</v>
      </c>
      <c r="I269" s="334">
        <v>0.94</v>
      </c>
      <c r="J269" s="334">
        <v>0.88</v>
      </c>
      <c r="K269" s="334">
        <v>0.8</v>
      </c>
      <c r="L269" s="334">
        <v>0.7</v>
      </c>
      <c r="M269" s="334">
        <v>0.59</v>
      </c>
      <c r="P269" s="288"/>
      <c r="Q269" s="288"/>
      <c r="R269" s="288"/>
      <c r="S269" s="288"/>
      <c r="T269" s="288"/>
      <c r="W269" s="288"/>
      <c r="X269" s="288"/>
      <c r="Y269" s="288"/>
      <c r="Z269" s="288"/>
      <c r="AA269" s="288"/>
      <c r="AD269" s="288"/>
      <c r="AE269" s="288"/>
      <c r="AF269" s="288"/>
      <c r="AG269" s="288"/>
      <c r="AH269" s="288"/>
      <c r="AK269" s="288"/>
      <c r="AL269" s="288"/>
      <c r="AM269" s="288"/>
      <c r="AN269" s="288"/>
      <c r="AO269" s="288"/>
      <c r="AR269" s="288"/>
      <c r="AS269" s="288"/>
      <c r="AT269" s="288"/>
      <c r="AU269" s="288"/>
      <c r="AV269" s="288"/>
      <c r="AY269" s="288"/>
      <c r="AZ269" s="288"/>
      <c r="BA269" s="288"/>
      <c r="BB269" s="288"/>
      <c r="BC269" s="288"/>
      <c r="BF269" s="288"/>
      <c r="BG269" s="288"/>
      <c r="BH269" s="288"/>
      <c r="BI269" s="288"/>
      <c r="BJ269" s="288"/>
      <c r="BM269" s="288"/>
      <c r="BN269" s="288"/>
      <c r="BO269" s="288"/>
      <c r="BP269" s="288"/>
      <c r="BQ269" s="288"/>
      <c r="BT269" s="288"/>
      <c r="BU269" s="288"/>
      <c r="BV269" s="288"/>
      <c r="BW269" s="288"/>
      <c r="BX269" s="288"/>
      <c r="CA269" s="288"/>
      <c r="CB269" s="288"/>
      <c r="CC269" s="288"/>
      <c r="CD269" s="288"/>
      <c r="CE269" s="288"/>
      <c r="CH269" s="288"/>
      <c r="CI269" s="288"/>
      <c r="CJ269" s="288"/>
      <c r="CK269" s="288"/>
      <c r="CL269" s="288"/>
      <c r="CO269" s="288"/>
      <c r="CP269" s="288"/>
      <c r="CQ269" s="288"/>
      <c r="CR269" s="288"/>
      <c r="CS269" s="288"/>
    </row>
    <row r="270" spans="3:97" x14ac:dyDescent="0.25">
      <c r="F270" s="260"/>
      <c r="P270" s="288"/>
      <c r="Q270" s="288"/>
      <c r="R270" s="288"/>
      <c r="S270" s="288"/>
      <c r="T270" s="288"/>
      <c r="W270" s="288"/>
      <c r="X270" s="288"/>
      <c r="Y270" s="288"/>
      <c r="Z270" s="288"/>
      <c r="AA270" s="288"/>
      <c r="AD270" s="288"/>
      <c r="AE270" s="288"/>
      <c r="AF270" s="288"/>
      <c r="AG270" s="288"/>
      <c r="AH270" s="288"/>
      <c r="AK270" s="288"/>
      <c r="AL270" s="288"/>
      <c r="AM270" s="288"/>
      <c r="AN270" s="288"/>
      <c r="AO270" s="288"/>
      <c r="AR270" s="288"/>
      <c r="AS270" s="288"/>
      <c r="AT270" s="288"/>
      <c r="AU270" s="288"/>
      <c r="AV270" s="288"/>
      <c r="AY270" s="288"/>
      <c r="AZ270" s="288"/>
      <c r="BA270" s="288"/>
      <c r="BB270" s="288"/>
      <c r="BC270" s="288"/>
      <c r="BF270" s="288"/>
      <c r="BG270" s="288"/>
      <c r="BH270" s="288"/>
      <c r="BI270" s="288"/>
      <c r="BJ270" s="288"/>
      <c r="BM270" s="288"/>
      <c r="BN270" s="288"/>
      <c r="BO270" s="288"/>
      <c r="BP270" s="288"/>
      <c r="BQ270" s="288"/>
      <c r="BT270" s="288"/>
      <c r="BU270" s="288"/>
      <c r="BV270" s="288"/>
      <c r="BW270" s="288"/>
      <c r="BX270" s="288"/>
      <c r="CA270" s="288"/>
      <c r="CB270" s="288"/>
      <c r="CC270" s="288"/>
      <c r="CD270" s="288"/>
      <c r="CE270" s="288"/>
      <c r="CH270" s="288"/>
      <c r="CI270" s="288"/>
      <c r="CJ270" s="288"/>
      <c r="CK270" s="288"/>
      <c r="CL270" s="288"/>
      <c r="CO270" s="288"/>
      <c r="CP270" s="288"/>
      <c r="CQ270" s="288"/>
      <c r="CR270" s="288"/>
      <c r="CS270" s="288"/>
    </row>
    <row r="271" spans="3:97" x14ac:dyDescent="0.25">
      <c r="F271" s="260"/>
      <c r="P271" s="288"/>
      <c r="Q271" s="288"/>
      <c r="R271" s="288"/>
      <c r="S271" s="288"/>
      <c r="T271" s="288"/>
      <c r="W271" s="288"/>
      <c r="X271" s="288"/>
      <c r="Y271" s="288"/>
      <c r="Z271" s="288"/>
      <c r="AA271" s="288"/>
      <c r="AD271" s="288"/>
      <c r="AE271" s="288"/>
      <c r="AF271" s="288"/>
      <c r="AG271" s="288"/>
      <c r="AH271" s="288"/>
      <c r="AK271" s="288"/>
      <c r="AL271" s="288"/>
      <c r="AM271" s="288"/>
      <c r="AN271" s="288"/>
      <c r="AO271" s="288"/>
      <c r="AR271" s="288"/>
      <c r="AS271" s="288"/>
      <c r="AT271" s="288"/>
      <c r="AU271" s="288"/>
      <c r="AV271" s="288"/>
      <c r="AY271" s="288"/>
      <c r="AZ271" s="288"/>
      <c r="BA271" s="288"/>
      <c r="BB271" s="288"/>
      <c r="BC271" s="288"/>
      <c r="BF271" s="288"/>
      <c r="BG271" s="288"/>
      <c r="BH271" s="288"/>
      <c r="BI271" s="288"/>
      <c r="BJ271" s="288"/>
      <c r="BM271" s="288"/>
      <c r="BN271" s="288"/>
      <c r="BO271" s="288"/>
      <c r="BP271" s="288"/>
      <c r="BQ271" s="288"/>
      <c r="BT271" s="288"/>
      <c r="BU271" s="288"/>
      <c r="BV271" s="288"/>
      <c r="BW271" s="288"/>
      <c r="BX271" s="288"/>
      <c r="CA271" s="288"/>
      <c r="CB271" s="288"/>
      <c r="CC271" s="288"/>
      <c r="CD271" s="288"/>
      <c r="CE271" s="288"/>
      <c r="CH271" s="288"/>
      <c r="CI271" s="288"/>
      <c r="CJ271" s="288"/>
      <c r="CK271" s="288"/>
      <c r="CL271" s="288"/>
      <c r="CO271" s="288"/>
      <c r="CP271" s="288"/>
      <c r="CQ271" s="288"/>
      <c r="CR271" s="288"/>
      <c r="CS271" s="288"/>
    </row>
    <row r="272" spans="3:97" x14ac:dyDescent="0.25">
      <c r="C272" s="415" t="s">
        <v>220</v>
      </c>
      <c r="D272" s="415"/>
      <c r="E272" s="415"/>
      <c r="F272" s="415"/>
      <c r="G272" s="415"/>
      <c r="H272" s="415"/>
      <c r="I272" s="415"/>
      <c r="J272" s="415"/>
      <c r="K272" s="415"/>
      <c r="L272" s="415"/>
      <c r="M272" s="415"/>
      <c r="O272" s="279" t="s">
        <v>495</v>
      </c>
    </row>
    <row r="273" spans="3:97" ht="15.75" customHeight="1" x14ac:dyDescent="0.25">
      <c r="C273" s="416" t="s">
        <v>221</v>
      </c>
      <c r="D273" s="416" t="s">
        <v>222</v>
      </c>
      <c r="E273" s="416"/>
      <c r="F273" s="416"/>
      <c r="G273" s="416"/>
      <c r="H273" s="416"/>
      <c r="I273" s="416"/>
      <c r="J273" s="416"/>
      <c r="K273" s="416"/>
      <c r="L273" s="416"/>
      <c r="M273" s="416"/>
      <c r="O273" s="415" t="str">
        <f>O272&amp;" - Janurary"</f>
        <v>CANBERRA - Janurary</v>
      </c>
      <c r="P273" s="415"/>
      <c r="Q273" s="415"/>
      <c r="R273" s="415"/>
      <c r="S273" s="415"/>
      <c r="T273" s="415"/>
      <c r="V273" s="415" t="str">
        <f>O272&amp;" - February"</f>
        <v>CANBERRA - February</v>
      </c>
      <c r="W273" s="415"/>
      <c r="X273" s="415"/>
      <c r="Y273" s="415"/>
      <c r="Z273" s="415"/>
      <c r="AA273" s="415"/>
      <c r="AC273" s="415" t="str">
        <f>O272&amp;" - March"</f>
        <v>CANBERRA - March</v>
      </c>
      <c r="AD273" s="415"/>
      <c r="AE273" s="415"/>
      <c r="AF273" s="415"/>
      <c r="AG273" s="415"/>
      <c r="AH273" s="415"/>
      <c r="AJ273" s="415" t="str">
        <f>O272&amp;" - April"</f>
        <v>CANBERRA - April</v>
      </c>
      <c r="AK273" s="415"/>
      <c r="AL273" s="415"/>
      <c r="AM273" s="415"/>
      <c r="AN273" s="415"/>
      <c r="AO273" s="415"/>
      <c r="AQ273" s="415" t="str">
        <f>O272&amp;" - May"</f>
        <v>CANBERRA - May</v>
      </c>
      <c r="AR273" s="415"/>
      <c r="AS273" s="415"/>
      <c r="AT273" s="415"/>
      <c r="AU273" s="415"/>
      <c r="AV273" s="415"/>
      <c r="AX273" s="415" t="str">
        <f>O272&amp;" - June"</f>
        <v>CANBERRA - June</v>
      </c>
      <c r="AY273" s="415"/>
      <c r="AZ273" s="415"/>
      <c r="BA273" s="415"/>
      <c r="BB273" s="415"/>
      <c r="BC273" s="415"/>
      <c r="BE273" s="415" t="str">
        <f>O272&amp;" - July"</f>
        <v>CANBERRA - July</v>
      </c>
      <c r="BF273" s="415"/>
      <c r="BG273" s="415"/>
      <c r="BH273" s="415"/>
      <c r="BI273" s="415"/>
      <c r="BJ273" s="415"/>
      <c r="BL273" s="415" t="str">
        <f>O272&amp;" - August"</f>
        <v>CANBERRA - August</v>
      </c>
      <c r="BM273" s="415"/>
      <c r="BN273" s="415"/>
      <c r="BO273" s="415"/>
      <c r="BP273" s="415"/>
      <c r="BQ273" s="415"/>
      <c r="BS273" s="415" t="str">
        <f>O272&amp;" - September"</f>
        <v>CANBERRA - September</v>
      </c>
      <c r="BT273" s="415"/>
      <c r="BU273" s="415"/>
      <c r="BV273" s="415"/>
      <c r="BW273" s="415"/>
      <c r="BX273" s="415"/>
      <c r="BZ273" s="415" t="str">
        <f>O272&amp;" - October"</f>
        <v>CANBERRA - October</v>
      </c>
      <c r="CA273" s="415"/>
      <c r="CB273" s="415"/>
      <c r="CC273" s="415"/>
      <c r="CD273" s="415"/>
      <c r="CE273" s="415"/>
      <c r="CG273" s="415" t="str">
        <f>O272&amp;" - November"</f>
        <v>CANBERRA - November</v>
      </c>
      <c r="CH273" s="415"/>
      <c r="CI273" s="415"/>
      <c r="CJ273" s="415"/>
      <c r="CK273" s="415"/>
      <c r="CL273" s="415"/>
      <c r="CN273" s="415" t="str">
        <f>O272&amp;" - December"</f>
        <v>CANBERRA - December</v>
      </c>
      <c r="CO273" s="415"/>
      <c r="CP273" s="415"/>
      <c r="CQ273" s="415"/>
      <c r="CR273" s="415"/>
      <c r="CS273" s="415"/>
    </row>
    <row r="274" spans="3:97" x14ac:dyDescent="0.25">
      <c r="C274" s="416"/>
      <c r="D274" s="333">
        <v>0</v>
      </c>
      <c r="E274" s="333">
        <v>10</v>
      </c>
      <c r="F274" s="333">
        <v>20</v>
      </c>
      <c r="G274" s="333">
        <v>30</v>
      </c>
      <c r="H274" s="333">
        <v>40</v>
      </c>
      <c r="I274" s="333">
        <v>50</v>
      </c>
      <c r="J274" s="333">
        <v>60</v>
      </c>
      <c r="K274" s="333">
        <v>70</v>
      </c>
      <c r="L274" s="333">
        <v>80</v>
      </c>
      <c r="M274" s="333">
        <v>90</v>
      </c>
      <c r="O274" s="416" t="s">
        <v>221</v>
      </c>
      <c r="P274" s="416" t="s">
        <v>222</v>
      </c>
      <c r="Q274" s="416"/>
      <c r="R274" s="416"/>
      <c r="S274" s="416"/>
      <c r="T274" s="416"/>
      <c r="V274" s="416" t="s">
        <v>221</v>
      </c>
      <c r="W274" s="416" t="s">
        <v>222</v>
      </c>
      <c r="X274" s="416"/>
      <c r="Y274" s="416"/>
      <c r="Z274" s="416"/>
      <c r="AA274" s="416"/>
      <c r="AC274" s="416" t="s">
        <v>221</v>
      </c>
      <c r="AD274" s="416" t="s">
        <v>222</v>
      </c>
      <c r="AE274" s="416"/>
      <c r="AF274" s="416"/>
      <c r="AG274" s="416"/>
      <c r="AH274" s="416"/>
      <c r="AJ274" s="416" t="s">
        <v>221</v>
      </c>
      <c r="AK274" s="416" t="s">
        <v>222</v>
      </c>
      <c r="AL274" s="416"/>
      <c r="AM274" s="416"/>
      <c r="AN274" s="416"/>
      <c r="AO274" s="416"/>
      <c r="AQ274" s="416" t="s">
        <v>221</v>
      </c>
      <c r="AR274" s="416" t="s">
        <v>222</v>
      </c>
      <c r="AS274" s="416"/>
      <c r="AT274" s="416"/>
      <c r="AU274" s="416"/>
      <c r="AV274" s="416"/>
      <c r="AX274" s="416" t="s">
        <v>221</v>
      </c>
      <c r="AY274" s="416" t="s">
        <v>222</v>
      </c>
      <c r="AZ274" s="416"/>
      <c r="BA274" s="416"/>
      <c r="BB274" s="416"/>
      <c r="BC274" s="416"/>
      <c r="BE274" s="416" t="s">
        <v>221</v>
      </c>
      <c r="BF274" s="416" t="s">
        <v>222</v>
      </c>
      <c r="BG274" s="416"/>
      <c r="BH274" s="416"/>
      <c r="BI274" s="416"/>
      <c r="BJ274" s="416"/>
      <c r="BL274" s="416" t="s">
        <v>221</v>
      </c>
      <c r="BM274" s="416" t="s">
        <v>222</v>
      </c>
      <c r="BN274" s="416"/>
      <c r="BO274" s="416"/>
      <c r="BP274" s="416"/>
      <c r="BQ274" s="416"/>
      <c r="BS274" s="416" t="s">
        <v>221</v>
      </c>
      <c r="BT274" s="416" t="s">
        <v>222</v>
      </c>
      <c r="BU274" s="416"/>
      <c r="BV274" s="416"/>
      <c r="BW274" s="416"/>
      <c r="BX274" s="416"/>
      <c r="BZ274" s="416" t="s">
        <v>221</v>
      </c>
      <c r="CA274" s="416" t="s">
        <v>222</v>
      </c>
      <c r="CB274" s="416"/>
      <c r="CC274" s="416"/>
      <c r="CD274" s="416"/>
      <c r="CE274" s="416"/>
      <c r="CG274" s="416" t="s">
        <v>221</v>
      </c>
      <c r="CH274" s="416" t="s">
        <v>222</v>
      </c>
      <c r="CI274" s="416"/>
      <c r="CJ274" s="416"/>
      <c r="CK274" s="416"/>
      <c r="CL274" s="416"/>
      <c r="CN274" s="416" t="s">
        <v>221</v>
      </c>
      <c r="CO274" s="416" t="s">
        <v>222</v>
      </c>
      <c r="CP274" s="416"/>
      <c r="CQ274" s="416"/>
      <c r="CR274" s="416"/>
      <c r="CS274" s="416"/>
    </row>
    <row r="275" spans="3:97" x14ac:dyDescent="0.25">
      <c r="C275" s="333">
        <v>0</v>
      </c>
      <c r="D275" s="334">
        <v>0.87</v>
      </c>
      <c r="E275" s="334">
        <v>0.94</v>
      </c>
      <c r="F275" s="334">
        <v>0.98</v>
      </c>
      <c r="G275" s="335">
        <v>1</v>
      </c>
      <c r="H275" s="334">
        <v>0.99</v>
      </c>
      <c r="I275" s="334">
        <v>0.96</v>
      </c>
      <c r="J275" s="334">
        <v>0.91</v>
      </c>
      <c r="K275" s="334">
        <v>0.83</v>
      </c>
      <c r="L275" s="334">
        <v>0.74</v>
      </c>
      <c r="M275" s="334">
        <v>0.64</v>
      </c>
      <c r="O275" s="416"/>
      <c r="P275" s="333">
        <v>0</v>
      </c>
      <c r="Q275" s="333">
        <v>10</v>
      </c>
      <c r="R275" s="333">
        <v>20</v>
      </c>
      <c r="S275" s="333">
        <v>30</v>
      </c>
      <c r="T275" s="333">
        <v>40</v>
      </c>
      <c r="V275" s="416"/>
      <c r="W275" s="333">
        <v>0</v>
      </c>
      <c r="X275" s="333">
        <v>10</v>
      </c>
      <c r="Y275" s="333">
        <v>20</v>
      </c>
      <c r="Z275" s="333">
        <v>30</v>
      </c>
      <c r="AA275" s="333">
        <v>40</v>
      </c>
      <c r="AC275" s="416"/>
      <c r="AD275" s="333">
        <v>0</v>
      </c>
      <c r="AE275" s="333">
        <v>10</v>
      </c>
      <c r="AF275" s="333">
        <v>20</v>
      </c>
      <c r="AG275" s="333">
        <v>30</v>
      </c>
      <c r="AH275" s="333">
        <v>40</v>
      </c>
      <c r="AJ275" s="416"/>
      <c r="AK275" s="333">
        <v>0</v>
      </c>
      <c r="AL275" s="333">
        <v>10</v>
      </c>
      <c r="AM275" s="333">
        <v>20</v>
      </c>
      <c r="AN275" s="333">
        <v>30</v>
      </c>
      <c r="AO275" s="333">
        <v>40</v>
      </c>
      <c r="AQ275" s="416"/>
      <c r="AR275" s="333">
        <v>0</v>
      </c>
      <c r="AS275" s="333">
        <v>10</v>
      </c>
      <c r="AT275" s="333">
        <v>20</v>
      </c>
      <c r="AU275" s="333">
        <v>30</v>
      </c>
      <c r="AV275" s="333">
        <v>40</v>
      </c>
      <c r="AX275" s="416"/>
      <c r="AY275" s="333">
        <v>0</v>
      </c>
      <c r="AZ275" s="333">
        <v>10</v>
      </c>
      <c r="BA275" s="333">
        <v>20</v>
      </c>
      <c r="BB275" s="333">
        <v>30</v>
      </c>
      <c r="BC275" s="333">
        <v>40</v>
      </c>
      <c r="BE275" s="416"/>
      <c r="BF275" s="333">
        <v>0</v>
      </c>
      <c r="BG275" s="333">
        <v>10</v>
      </c>
      <c r="BH275" s="333">
        <v>20</v>
      </c>
      <c r="BI275" s="333">
        <v>30</v>
      </c>
      <c r="BJ275" s="333">
        <v>40</v>
      </c>
      <c r="BL275" s="416"/>
      <c r="BM275" s="333">
        <v>0</v>
      </c>
      <c r="BN275" s="333">
        <v>10</v>
      </c>
      <c r="BO275" s="333">
        <v>20</v>
      </c>
      <c r="BP275" s="333">
        <v>30</v>
      </c>
      <c r="BQ275" s="333">
        <v>40</v>
      </c>
      <c r="BS275" s="416"/>
      <c r="BT275" s="333">
        <v>0</v>
      </c>
      <c r="BU275" s="333">
        <v>10</v>
      </c>
      <c r="BV275" s="333">
        <v>20</v>
      </c>
      <c r="BW275" s="333">
        <v>30</v>
      </c>
      <c r="BX275" s="333">
        <v>40</v>
      </c>
      <c r="BZ275" s="416"/>
      <c r="CA275" s="333">
        <v>0</v>
      </c>
      <c r="CB275" s="333">
        <v>10</v>
      </c>
      <c r="CC275" s="333">
        <v>20</v>
      </c>
      <c r="CD275" s="333">
        <v>30</v>
      </c>
      <c r="CE275" s="333">
        <v>40</v>
      </c>
      <c r="CG275" s="416"/>
      <c r="CH275" s="333">
        <v>0</v>
      </c>
      <c r="CI275" s="333">
        <v>10</v>
      </c>
      <c r="CJ275" s="333">
        <v>20</v>
      </c>
      <c r="CK275" s="333">
        <v>30</v>
      </c>
      <c r="CL275" s="333">
        <v>40</v>
      </c>
      <c r="CN275" s="416"/>
      <c r="CO275" s="333">
        <v>0</v>
      </c>
      <c r="CP275" s="333">
        <v>10</v>
      </c>
      <c r="CQ275" s="333">
        <v>20</v>
      </c>
      <c r="CR275" s="333">
        <v>30</v>
      </c>
      <c r="CS275" s="333">
        <v>40</v>
      </c>
    </row>
    <row r="276" spans="3:97" x14ac:dyDescent="0.25">
      <c r="C276" s="333">
        <v>10</v>
      </c>
      <c r="D276" s="334">
        <v>0.87</v>
      </c>
      <c r="E276" s="334">
        <v>0.94</v>
      </c>
      <c r="F276" s="334">
        <v>0.98</v>
      </c>
      <c r="G276" s="335">
        <v>0.99</v>
      </c>
      <c r="H276" s="334">
        <v>0.99</v>
      </c>
      <c r="I276" s="334">
        <v>0.96</v>
      </c>
      <c r="J276" s="334">
        <v>0.91</v>
      </c>
      <c r="K276" s="334">
        <v>0.83</v>
      </c>
      <c r="L276" s="334">
        <v>0.74</v>
      </c>
      <c r="M276" s="334">
        <v>0.64</v>
      </c>
      <c r="O276" s="333">
        <v>270</v>
      </c>
      <c r="P276" s="334">
        <v>1</v>
      </c>
      <c r="Q276" s="334">
        <v>1</v>
      </c>
      <c r="R276" s="334">
        <v>0.99</v>
      </c>
      <c r="S276" s="334">
        <v>0.96</v>
      </c>
      <c r="T276" s="334">
        <v>0.93</v>
      </c>
      <c r="V276" s="333">
        <v>270</v>
      </c>
      <c r="W276" s="334">
        <v>1</v>
      </c>
      <c r="X276" s="334">
        <v>1</v>
      </c>
      <c r="Y276" s="334">
        <v>0.99</v>
      </c>
      <c r="Z276" s="334">
        <v>0.97</v>
      </c>
      <c r="AA276" s="334">
        <v>0.93</v>
      </c>
      <c r="AC276" s="333">
        <v>270</v>
      </c>
      <c r="AD276" s="334">
        <v>1</v>
      </c>
      <c r="AE276" s="334">
        <v>1.01</v>
      </c>
      <c r="AF276" s="334">
        <v>1.01</v>
      </c>
      <c r="AG276" s="334">
        <v>0.99</v>
      </c>
      <c r="AH276" s="334">
        <v>0.96</v>
      </c>
      <c r="AJ276" s="333">
        <v>270</v>
      </c>
      <c r="AK276" s="334">
        <v>1</v>
      </c>
      <c r="AL276" s="334">
        <v>1.01</v>
      </c>
      <c r="AM276" s="334">
        <v>1.01</v>
      </c>
      <c r="AN276" s="334">
        <v>1</v>
      </c>
      <c r="AO276" s="334">
        <v>0.98</v>
      </c>
      <c r="AQ276" s="333">
        <v>270</v>
      </c>
      <c r="AR276" s="334">
        <v>1</v>
      </c>
      <c r="AS276" s="334">
        <v>1.01</v>
      </c>
      <c r="AT276" s="334">
        <v>1.02</v>
      </c>
      <c r="AU276" s="334">
        <v>1.01</v>
      </c>
      <c r="AV276" s="334">
        <v>1</v>
      </c>
      <c r="AX276" s="333">
        <v>270</v>
      </c>
      <c r="AY276" s="334">
        <v>1</v>
      </c>
      <c r="AZ276" s="334">
        <v>1.01</v>
      </c>
      <c r="BA276" s="334">
        <v>1.03</v>
      </c>
      <c r="BB276" s="334">
        <v>1.03</v>
      </c>
      <c r="BC276" s="334">
        <v>1.02</v>
      </c>
      <c r="BE276" s="333">
        <v>270</v>
      </c>
      <c r="BF276" s="334">
        <v>1</v>
      </c>
      <c r="BG276" s="334">
        <v>1.02</v>
      </c>
      <c r="BH276" s="334">
        <v>1.03</v>
      </c>
      <c r="BI276" s="334">
        <v>1.03</v>
      </c>
      <c r="BJ276" s="334">
        <v>1.02</v>
      </c>
      <c r="BL276" s="333">
        <v>270</v>
      </c>
      <c r="BM276" s="334">
        <v>1</v>
      </c>
      <c r="BN276" s="334">
        <v>1.01</v>
      </c>
      <c r="BO276" s="334">
        <v>1.01</v>
      </c>
      <c r="BP276" s="334">
        <v>1</v>
      </c>
      <c r="BQ276" s="334">
        <v>0.99</v>
      </c>
      <c r="BS276" s="333">
        <v>270</v>
      </c>
      <c r="BT276" s="334">
        <v>1</v>
      </c>
      <c r="BU276" s="334">
        <v>1.01</v>
      </c>
      <c r="BV276" s="334">
        <v>1.01</v>
      </c>
      <c r="BW276" s="334">
        <v>0.99</v>
      </c>
      <c r="BX276" s="334">
        <v>0.96</v>
      </c>
      <c r="BZ276" s="333">
        <v>270</v>
      </c>
      <c r="CA276" s="334">
        <v>1</v>
      </c>
      <c r="CB276" s="334">
        <v>1.01</v>
      </c>
      <c r="CC276" s="334">
        <v>1</v>
      </c>
      <c r="CD276" s="334">
        <v>0.98</v>
      </c>
      <c r="CE276" s="334">
        <v>0.95</v>
      </c>
      <c r="CG276" s="333">
        <v>270</v>
      </c>
      <c r="CH276" s="334">
        <v>1</v>
      </c>
      <c r="CI276" s="334">
        <v>1</v>
      </c>
      <c r="CJ276" s="334">
        <v>0.99</v>
      </c>
      <c r="CK276" s="334">
        <v>0.97</v>
      </c>
      <c r="CL276" s="334">
        <v>0.93</v>
      </c>
      <c r="CN276" s="333">
        <v>270</v>
      </c>
      <c r="CO276" s="334">
        <v>1</v>
      </c>
      <c r="CP276" s="334">
        <v>1</v>
      </c>
      <c r="CQ276" s="334">
        <v>0.99</v>
      </c>
      <c r="CR276" s="334">
        <v>0.96</v>
      </c>
      <c r="CS276" s="334">
        <v>0.92</v>
      </c>
    </row>
    <row r="277" spans="3:97" x14ac:dyDescent="0.25">
      <c r="C277" s="333">
        <v>20</v>
      </c>
      <c r="D277" s="334">
        <v>0.87</v>
      </c>
      <c r="E277" s="334">
        <v>0.93</v>
      </c>
      <c r="F277" s="334">
        <v>0.97</v>
      </c>
      <c r="G277" s="335">
        <v>0.99</v>
      </c>
      <c r="H277" s="334">
        <v>0.98</v>
      </c>
      <c r="I277" s="334">
        <v>0.95</v>
      </c>
      <c r="J277" s="334">
        <v>0.9</v>
      </c>
      <c r="K277" s="334">
        <v>0.83</v>
      </c>
      <c r="L277" s="334">
        <v>0.74</v>
      </c>
      <c r="M277" s="334">
        <v>0.64</v>
      </c>
      <c r="O277" s="333">
        <v>280</v>
      </c>
      <c r="P277" s="334">
        <v>1</v>
      </c>
      <c r="Q277" s="334">
        <v>1.01</v>
      </c>
      <c r="R277" s="334">
        <v>1</v>
      </c>
      <c r="S277" s="334">
        <v>0.97</v>
      </c>
      <c r="T277" s="334">
        <v>0.93</v>
      </c>
      <c r="V277" s="333">
        <v>280</v>
      </c>
      <c r="W277" s="334">
        <v>1</v>
      </c>
      <c r="X277" s="334">
        <v>1.01</v>
      </c>
      <c r="Y277" s="334">
        <v>1.01</v>
      </c>
      <c r="Z277" s="334">
        <v>0.99</v>
      </c>
      <c r="AA277" s="334">
        <v>0.96</v>
      </c>
      <c r="AC277" s="333">
        <v>280</v>
      </c>
      <c r="AD277" s="334">
        <v>1</v>
      </c>
      <c r="AE277" s="334">
        <v>1.03</v>
      </c>
      <c r="AF277" s="334">
        <v>1.04</v>
      </c>
      <c r="AG277" s="334">
        <v>1.03</v>
      </c>
      <c r="AH277" s="334">
        <v>1.01</v>
      </c>
      <c r="AJ277" s="333">
        <v>280</v>
      </c>
      <c r="AK277" s="334">
        <v>1</v>
      </c>
      <c r="AL277" s="334">
        <v>1.03</v>
      </c>
      <c r="AM277" s="334">
        <v>1.05</v>
      </c>
      <c r="AN277" s="334">
        <v>1.07</v>
      </c>
      <c r="AO277" s="334">
        <v>1.05</v>
      </c>
      <c r="AQ277" s="333">
        <v>280</v>
      </c>
      <c r="AR277" s="334">
        <v>1</v>
      </c>
      <c r="AS277" s="334">
        <v>1.05</v>
      </c>
      <c r="AT277" s="334">
        <v>1.08</v>
      </c>
      <c r="AU277" s="334">
        <v>1.1000000000000001</v>
      </c>
      <c r="AV277" s="334">
        <v>1.1100000000000001</v>
      </c>
      <c r="AX277" s="333">
        <v>280</v>
      </c>
      <c r="AY277" s="334">
        <v>1</v>
      </c>
      <c r="AZ277" s="334">
        <v>1.05</v>
      </c>
      <c r="BA277" s="334">
        <v>1.1100000000000001</v>
      </c>
      <c r="BB277" s="334">
        <v>1.1299999999999999</v>
      </c>
      <c r="BC277" s="334">
        <v>1.1499999999999999</v>
      </c>
      <c r="BE277" s="333">
        <v>280</v>
      </c>
      <c r="BF277" s="334">
        <v>1</v>
      </c>
      <c r="BG277" s="334">
        <v>1.06</v>
      </c>
      <c r="BH277" s="334">
        <v>1.1000000000000001</v>
      </c>
      <c r="BI277" s="334">
        <v>1.1200000000000001</v>
      </c>
      <c r="BJ277" s="334">
        <v>1.1399999999999999</v>
      </c>
      <c r="BL277" s="333">
        <v>280</v>
      </c>
      <c r="BM277" s="334">
        <v>1</v>
      </c>
      <c r="BN277" s="334">
        <v>1.04</v>
      </c>
      <c r="BO277" s="334">
        <v>1.07</v>
      </c>
      <c r="BP277" s="334">
        <v>1.08</v>
      </c>
      <c r="BQ277" s="334">
        <v>1.08</v>
      </c>
      <c r="BS277" s="333">
        <v>280</v>
      </c>
      <c r="BT277" s="334">
        <v>1</v>
      </c>
      <c r="BU277" s="334">
        <v>1.03</v>
      </c>
      <c r="BV277" s="334">
        <v>1.04</v>
      </c>
      <c r="BW277" s="334">
        <v>1.04</v>
      </c>
      <c r="BX277" s="334">
        <v>1.02</v>
      </c>
      <c r="BZ277" s="333">
        <v>280</v>
      </c>
      <c r="CA277" s="334">
        <v>1</v>
      </c>
      <c r="CB277" s="334">
        <v>1.02</v>
      </c>
      <c r="CC277" s="334">
        <v>1.02</v>
      </c>
      <c r="CD277" s="334">
        <v>1.01</v>
      </c>
      <c r="CE277" s="334">
        <v>0.98</v>
      </c>
      <c r="CG277" s="333">
        <v>280</v>
      </c>
      <c r="CH277" s="334">
        <v>1</v>
      </c>
      <c r="CI277" s="334">
        <v>1.01</v>
      </c>
      <c r="CJ277" s="334">
        <v>1</v>
      </c>
      <c r="CK277" s="334">
        <v>0.98</v>
      </c>
      <c r="CL277" s="334">
        <v>0.94</v>
      </c>
      <c r="CN277" s="333">
        <v>280</v>
      </c>
      <c r="CO277" s="334">
        <v>1</v>
      </c>
      <c r="CP277" s="334">
        <v>1</v>
      </c>
      <c r="CQ277" s="334">
        <v>0.99</v>
      </c>
      <c r="CR277" s="334">
        <v>0.96</v>
      </c>
      <c r="CS277" s="334">
        <v>0.93</v>
      </c>
    </row>
    <row r="278" spans="3:97" x14ac:dyDescent="0.25">
      <c r="C278" s="333">
        <v>30</v>
      </c>
      <c r="D278" s="334">
        <v>0.87</v>
      </c>
      <c r="E278" s="334">
        <v>0.93</v>
      </c>
      <c r="F278" s="334">
        <v>0.96</v>
      </c>
      <c r="G278" s="335">
        <v>0.98</v>
      </c>
      <c r="H278" s="334">
        <v>0.97</v>
      </c>
      <c r="I278" s="334">
        <v>0.94</v>
      </c>
      <c r="J278" s="334">
        <v>0.89</v>
      </c>
      <c r="K278" s="334">
        <v>0.82</v>
      </c>
      <c r="L278" s="334">
        <v>0.73</v>
      </c>
      <c r="M278" s="334">
        <v>0.64</v>
      </c>
      <c r="O278" s="333">
        <v>290</v>
      </c>
      <c r="P278" s="334">
        <v>1</v>
      </c>
      <c r="Q278" s="334">
        <v>1.01</v>
      </c>
      <c r="R278" s="334">
        <v>1</v>
      </c>
      <c r="S278" s="334">
        <v>0.98</v>
      </c>
      <c r="T278" s="334">
        <v>0.94</v>
      </c>
      <c r="V278" s="333">
        <v>290</v>
      </c>
      <c r="W278" s="334">
        <v>1</v>
      </c>
      <c r="X278" s="334">
        <v>1.02</v>
      </c>
      <c r="Y278" s="334">
        <v>1.02</v>
      </c>
      <c r="Z278" s="334">
        <v>1</v>
      </c>
      <c r="AA278" s="334">
        <v>0.98</v>
      </c>
      <c r="AC278" s="333">
        <v>290</v>
      </c>
      <c r="AD278" s="334">
        <v>1</v>
      </c>
      <c r="AE278" s="334">
        <v>1.04</v>
      </c>
      <c r="AF278" s="334">
        <v>1.07</v>
      </c>
      <c r="AG278" s="334">
        <v>1.07</v>
      </c>
      <c r="AH278" s="334">
        <v>1.06</v>
      </c>
      <c r="AJ278" s="333">
        <v>290</v>
      </c>
      <c r="AK278" s="334">
        <v>1</v>
      </c>
      <c r="AL278" s="334">
        <v>1.06</v>
      </c>
      <c r="AM278" s="334">
        <v>1.1000000000000001</v>
      </c>
      <c r="AN278" s="334">
        <v>1.1200000000000001</v>
      </c>
      <c r="AO278" s="334">
        <v>1.1299999999999999</v>
      </c>
      <c r="AQ278" s="333">
        <v>290</v>
      </c>
      <c r="AR278" s="334">
        <v>1</v>
      </c>
      <c r="AS278" s="334">
        <v>1.08</v>
      </c>
      <c r="AT278" s="334">
        <v>1.1499999999999999</v>
      </c>
      <c r="AU278" s="334">
        <v>1.2</v>
      </c>
      <c r="AV278" s="334">
        <v>1.22</v>
      </c>
      <c r="AX278" s="333">
        <v>290</v>
      </c>
      <c r="AY278" s="334">
        <v>1</v>
      </c>
      <c r="AZ278" s="334">
        <v>1.1000000000000001</v>
      </c>
      <c r="BA278" s="334">
        <v>1.18</v>
      </c>
      <c r="BB278" s="334">
        <v>1.23</v>
      </c>
      <c r="BC278" s="334">
        <v>1.27</v>
      </c>
      <c r="BE278" s="333">
        <v>290</v>
      </c>
      <c r="BF278" s="334">
        <v>1</v>
      </c>
      <c r="BG278" s="334">
        <v>1.1000000000000001</v>
      </c>
      <c r="BH278" s="334">
        <v>1.17</v>
      </c>
      <c r="BI278" s="334">
        <v>1.23</v>
      </c>
      <c r="BJ278" s="334">
        <v>1.26</v>
      </c>
      <c r="BL278" s="333">
        <v>290</v>
      </c>
      <c r="BM278" s="334">
        <v>1</v>
      </c>
      <c r="BN278" s="334">
        <v>1.07</v>
      </c>
      <c r="BO278" s="334">
        <v>1.1299999999999999</v>
      </c>
      <c r="BP278" s="334">
        <v>1.1599999999999999</v>
      </c>
      <c r="BQ278" s="334">
        <v>1.17</v>
      </c>
      <c r="BS278" s="333">
        <v>290</v>
      </c>
      <c r="BT278" s="334">
        <v>1</v>
      </c>
      <c r="BU278" s="334">
        <v>1.05</v>
      </c>
      <c r="BV278" s="334">
        <v>1.08</v>
      </c>
      <c r="BW278" s="334">
        <v>1.08</v>
      </c>
      <c r="BX278" s="334">
        <v>1.08</v>
      </c>
      <c r="BZ278" s="333">
        <v>290</v>
      </c>
      <c r="CA278" s="334">
        <v>1</v>
      </c>
      <c r="CB278" s="334">
        <v>1.03</v>
      </c>
      <c r="CC278" s="334">
        <v>1.04</v>
      </c>
      <c r="CD278" s="334">
        <v>1.03</v>
      </c>
      <c r="CE278" s="334">
        <v>1.01</v>
      </c>
      <c r="CG278" s="333">
        <v>290</v>
      </c>
      <c r="CH278" s="334">
        <v>1</v>
      </c>
      <c r="CI278" s="334">
        <v>1.01</v>
      </c>
      <c r="CJ278" s="334">
        <v>1.01</v>
      </c>
      <c r="CK278" s="334">
        <v>0.98</v>
      </c>
      <c r="CL278" s="334">
        <v>0.95</v>
      </c>
      <c r="CN278" s="333">
        <v>290</v>
      </c>
      <c r="CO278" s="334">
        <v>1</v>
      </c>
      <c r="CP278" s="334">
        <v>1.01</v>
      </c>
      <c r="CQ278" s="334">
        <v>0.99</v>
      </c>
      <c r="CR278" s="334">
        <v>0.97</v>
      </c>
      <c r="CS278" s="334">
        <v>0.93</v>
      </c>
    </row>
    <row r="279" spans="3:97" x14ac:dyDescent="0.25">
      <c r="C279" s="333">
        <v>40</v>
      </c>
      <c r="D279" s="334">
        <v>0.87</v>
      </c>
      <c r="E279" s="334">
        <v>0.92</v>
      </c>
      <c r="F279" s="334">
        <v>0.95</v>
      </c>
      <c r="G279" s="335">
        <v>0.96</v>
      </c>
      <c r="H279" s="334">
        <v>0.95</v>
      </c>
      <c r="I279" s="334">
        <v>0.92</v>
      </c>
      <c r="J279" s="334">
        <v>0.87</v>
      </c>
      <c r="K279" s="334">
        <v>0.8</v>
      </c>
      <c r="L279" s="334">
        <v>0.72</v>
      </c>
      <c r="M279" s="334">
        <v>0.63</v>
      </c>
      <c r="O279" s="333">
        <v>300</v>
      </c>
      <c r="P279" s="334">
        <v>1</v>
      </c>
      <c r="Q279" s="334">
        <v>1.01</v>
      </c>
      <c r="R279" s="335">
        <v>1</v>
      </c>
      <c r="S279" s="334">
        <v>0.98</v>
      </c>
      <c r="T279" s="334">
        <v>0.94</v>
      </c>
      <c r="V279" s="333">
        <v>300</v>
      </c>
      <c r="W279" s="334">
        <v>1</v>
      </c>
      <c r="X279" s="334">
        <v>1.03</v>
      </c>
      <c r="Y279" s="335">
        <v>1.03</v>
      </c>
      <c r="Z279" s="334">
        <v>1.02</v>
      </c>
      <c r="AA279" s="334">
        <v>1</v>
      </c>
      <c r="AC279" s="333">
        <v>300</v>
      </c>
      <c r="AD279" s="334">
        <v>1</v>
      </c>
      <c r="AE279" s="334">
        <v>1.05</v>
      </c>
      <c r="AF279" s="335">
        <v>1.0900000000000001</v>
      </c>
      <c r="AG279" s="334">
        <v>1.1000000000000001</v>
      </c>
      <c r="AH279" s="334">
        <v>1.1000000000000001</v>
      </c>
      <c r="AJ279" s="333">
        <v>300</v>
      </c>
      <c r="AK279" s="334">
        <v>1</v>
      </c>
      <c r="AL279" s="334">
        <v>1.08</v>
      </c>
      <c r="AM279" s="335">
        <v>1.1399999999999999</v>
      </c>
      <c r="AN279" s="334">
        <v>1.18</v>
      </c>
      <c r="AO279" s="334">
        <v>1.2</v>
      </c>
      <c r="AQ279" s="333">
        <v>300</v>
      </c>
      <c r="AR279" s="334">
        <v>1</v>
      </c>
      <c r="AS279" s="334">
        <v>1.1200000000000001</v>
      </c>
      <c r="AT279" s="335">
        <v>1.21</v>
      </c>
      <c r="AU279" s="334">
        <v>1.29</v>
      </c>
      <c r="AV279" s="334">
        <v>1.33</v>
      </c>
      <c r="AX279" s="333">
        <v>300</v>
      </c>
      <c r="AY279" s="334">
        <v>1</v>
      </c>
      <c r="AZ279" s="334">
        <v>1.1399999999999999</v>
      </c>
      <c r="BA279" s="335">
        <v>1.24</v>
      </c>
      <c r="BB279" s="334">
        <v>1.33</v>
      </c>
      <c r="BC279" s="334">
        <v>1.39</v>
      </c>
      <c r="BE279" s="333">
        <v>300</v>
      </c>
      <c r="BF279" s="334">
        <v>1</v>
      </c>
      <c r="BG279" s="334">
        <v>1.1299999999999999</v>
      </c>
      <c r="BH279" s="335">
        <v>1.24</v>
      </c>
      <c r="BI279" s="334">
        <v>1.32</v>
      </c>
      <c r="BJ279" s="334">
        <v>1.37</v>
      </c>
      <c r="BL279" s="333">
        <v>300</v>
      </c>
      <c r="BM279" s="334">
        <v>1</v>
      </c>
      <c r="BN279" s="334">
        <v>1.1000000000000001</v>
      </c>
      <c r="BO279" s="335">
        <v>1.18</v>
      </c>
      <c r="BP279" s="334">
        <v>1.23</v>
      </c>
      <c r="BQ279" s="334">
        <v>1.26</v>
      </c>
      <c r="BS279" s="333">
        <v>300</v>
      </c>
      <c r="BT279" s="334">
        <v>1</v>
      </c>
      <c r="BU279" s="334">
        <v>1.07</v>
      </c>
      <c r="BV279" s="335">
        <v>1.1100000000000001</v>
      </c>
      <c r="BW279" s="334">
        <v>1.1299999999999999</v>
      </c>
      <c r="BX279" s="334">
        <v>1.1299999999999999</v>
      </c>
      <c r="BZ279" s="333">
        <v>300</v>
      </c>
      <c r="CA279" s="334">
        <v>1</v>
      </c>
      <c r="CB279" s="334">
        <v>1.04</v>
      </c>
      <c r="CC279" s="335">
        <v>1.05</v>
      </c>
      <c r="CD279" s="334">
        <v>1.05</v>
      </c>
      <c r="CE279" s="334">
        <v>1.03</v>
      </c>
      <c r="CG279" s="333">
        <v>300</v>
      </c>
      <c r="CH279" s="334">
        <v>1</v>
      </c>
      <c r="CI279" s="334">
        <v>1.02</v>
      </c>
      <c r="CJ279" s="335">
        <v>1.01</v>
      </c>
      <c r="CK279" s="334">
        <v>0.99</v>
      </c>
      <c r="CL279" s="334">
        <v>0.96</v>
      </c>
      <c r="CN279" s="333">
        <v>300</v>
      </c>
      <c r="CO279" s="334">
        <v>1</v>
      </c>
      <c r="CP279" s="334">
        <v>1.01</v>
      </c>
      <c r="CQ279" s="335">
        <v>0.99</v>
      </c>
      <c r="CR279" s="334">
        <v>0.96</v>
      </c>
      <c r="CS279" s="334">
        <v>0.92</v>
      </c>
    </row>
    <row r="280" spans="3:97" x14ac:dyDescent="0.25">
      <c r="C280" s="333">
        <v>50</v>
      </c>
      <c r="D280" s="334">
        <v>0.87</v>
      </c>
      <c r="E280" s="334">
        <v>0.92</v>
      </c>
      <c r="F280" s="334">
        <v>0.94</v>
      </c>
      <c r="G280" s="335">
        <v>0.94</v>
      </c>
      <c r="H280" s="334">
        <v>0.93</v>
      </c>
      <c r="I280" s="334">
        <v>0.89</v>
      </c>
      <c r="J280" s="334">
        <v>0.84</v>
      </c>
      <c r="K280" s="334">
        <v>0.78</v>
      </c>
      <c r="L280" s="334">
        <v>0.7</v>
      </c>
      <c r="M280" s="334">
        <v>0.62</v>
      </c>
      <c r="O280" s="333">
        <v>310</v>
      </c>
      <c r="P280" s="334">
        <v>1</v>
      </c>
      <c r="Q280" s="334">
        <v>1.01</v>
      </c>
      <c r="R280" s="335">
        <v>1.01</v>
      </c>
      <c r="S280" s="334">
        <v>0.98</v>
      </c>
      <c r="T280" s="334">
        <v>0.94</v>
      </c>
      <c r="V280" s="333">
        <v>310</v>
      </c>
      <c r="W280" s="334">
        <v>1</v>
      </c>
      <c r="X280" s="334">
        <v>1.03</v>
      </c>
      <c r="Y280" s="335">
        <v>1.04</v>
      </c>
      <c r="Z280" s="334">
        <v>1.03</v>
      </c>
      <c r="AA280" s="334">
        <v>1</v>
      </c>
      <c r="AC280" s="333">
        <v>310</v>
      </c>
      <c r="AD280" s="334">
        <v>1</v>
      </c>
      <c r="AE280" s="334">
        <v>1.07</v>
      </c>
      <c r="AF280" s="335">
        <v>1.1100000000000001</v>
      </c>
      <c r="AG280" s="334">
        <v>1.1299999999999999</v>
      </c>
      <c r="AH280" s="334">
        <v>1.1299999999999999</v>
      </c>
      <c r="AJ280" s="333">
        <v>310</v>
      </c>
      <c r="AK280" s="334">
        <v>1</v>
      </c>
      <c r="AL280" s="334">
        <v>1.1000000000000001</v>
      </c>
      <c r="AM280" s="335">
        <v>1.18</v>
      </c>
      <c r="AN280" s="334">
        <v>1.24</v>
      </c>
      <c r="AO280" s="334">
        <v>1.26</v>
      </c>
      <c r="AQ280" s="333">
        <v>310</v>
      </c>
      <c r="AR280" s="334">
        <v>1</v>
      </c>
      <c r="AS280" s="334">
        <v>1.1499999999999999</v>
      </c>
      <c r="AT280" s="335">
        <v>1.27</v>
      </c>
      <c r="AU280" s="334">
        <v>1.36</v>
      </c>
      <c r="AV280" s="334">
        <v>1.42</v>
      </c>
      <c r="AX280" s="333">
        <v>310</v>
      </c>
      <c r="AY280" s="334">
        <v>1</v>
      </c>
      <c r="AZ280" s="334">
        <v>1.17</v>
      </c>
      <c r="BA280" s="335">
        <v>1.31</v>
      </c>
      <c r="BB280" s="334">
        <v>1.43</v>
      </c>
      <c r="BC280" s="334">
        <v>1.5</v>
      </c>
      <c r="BE280" s="333">
        <v>310</v>
      </c>
      <c r="BF280" s="334">
        <v>1</v>
      </c>
      <c r="BG280" s="334">
        <v>1.1599999999999999</v>
      </c>
      <c r="BH280" s="335">
        <v>1.3</v>
      </c>
      <c r="BI280" s="334">
        <v>1.41</v>
      </c>
      <c r="BJ280" s="334">
        <v>1.48</v>
      </c>
      <c r="BL280" s="333">
        <v>310</v>
      </c>
      <c r="BM280" s="334">
        <v>1</v>
      </c>
      <c r="BN280" s="334">
        <v>1.1299999999999999</v>
      </c>
      <c r="BO280" s="335">
        <v>1.22</v>
      </c>
      <c r="BP280" s="334">
        <v>1.29</v>
      </c>
      <c r="BQ280" s="334">
        <v>1.33</v>
      </c>
      <c r="BS280" s="333">
        <v>310</v>
      </c>
      <c r="BT280" s="334">
        <v>1</v>
      </c>
      <c r="BU280" s="334">
        <v>1.08</v>
      </c>
      <c r="BV280" s="335">
        <v>1.1399999999999999</v>
      </c>
      <c r="BW280" s="334">
        <v>1.17</v>
      </c>
      <c r="BX280" s="334">
        <v>1.17</v>
      </c>
      <c r="BZ280" s="333">
        <v>310</v>
      </c>
      <c r="CA280" s="334">
        <v>1</v>
      </c>
      <c r="CB280" s="334">
        <v>1.04</v>
      </c>
      <c r="CC280" s="335">
        <v>1.07</v>
      </c>
      <c r="CD280" s="334">
        <v>1.07</v>
      </c>
      <c r="CE280" s="334">
        <v>1.05</v>
      </c>
      <c r="CG280" s="333">
        <v>310</v>
      </c>
      <c r="CH280" s="334">
        <v>1</v>
      </c>
      <c r="CI280" s="334">
        <v>1.02</v>
      </c>
      <c r="CJ280" s="335">
        <v>1.02</v>
      </c>
      <c r="CK280" s="334">
        <v>0.99</v>
      </c>
      <c r="CL280" s="334">
        <v>0.96</v>
      </c>
      <c r="CN280" s="333">
        <v>310</v>
      </c>
      <c r="CO280" s="334">
        <v>1</v>
      </c>
      <c r="CP280" s="334">
        <v>1.01</v>
      </c>
      <c r="CQ280" s="335">
        <v>0.99</v>
      </c>
      <c r="CR280" s="334">
        <v>0.96</v>
      </c>
      <c r="CS280" s="334">
        <v>0.92</v>
      </c>
    </row>
    <row r="281" spans="3:97" x14ac:dyDescent="0.25">
      <c r="C281" s="333">
        <v>60</v>
      </c>
      <c r="D281" s="334">
        <v>0.87</v>
      </c>
      <c r="E281" s="334">
        <v>0.91</v>
      </c>
      <c r="F281" s="334">
        <v>0.92</v>
      </c>
      <c r="G281" s="335">
        <v>0.92</v>
      </c>
      <c r="H281" s="334">
        <v>0.9</v>
      </c>
      <c r="I281" s="334">
        <v>0.86</v>
      </c>
      <c r="J281" s="334">
        <v>0.81</v>
      </c>
      <c r="K281" s="334">
        <v>0.75</v>
      </c>
      <c r="L281" s="334">
        <v>0.68</v>
      </c>
      <c r="M281" s="334">
        <v>0.61</v>
      </c>
      <c r="O281" s="333">
        <v>320</v>
      </c>
      <c r="P281" s="334">
        <v>1</v>
      </c>
      <c r="Q281" s="334">
        <v>1.01</v>
      </c>
      <c r="R281" s="335">
        <v>1.01</v>
      </c>
      <c r="S281" s="334">
        <v>0.98</v>
      </c>
      <c r="T281" s="334">
        <v>0.93</v>
      </c>
      <c r="V281" s="333">
        <v>320</v>
      </c>
      <c r="W281" s="334">
        <v>1</v>
      </c>
      <c r="X281" s="334">
        <v>1.03</v>
      </c>
      <c r="Y281" s="335">
        <v>1.05</v>
      </c>
      <c r="Z281" s="334">
        <v>1.04</v>
      </c>
      <c r="AA281" s="334">
        <v>1.01</v>
      </c>
      <c r="AC281" s="333">
        <v>320</v>
      </c>
      <c r="AD281" s="334">
        <v>1</v>
      </c>
      <c r="AE281" s="334">
        <v>1.08</v>
      </c>
      <c r="AF281" s="335">
        <v>1.1299999999999999</v>
      </c>
      <c r="AG281" s="334">
        <v>1.1499999999999999</v>
      </c>
      <c r="AH281" s="334">
        <v>1.1499999999999999</v>
      </c>
      <c r="AJ281" s="333">
        <v>320</v>
      </c>
      <c r="AK281" s="334">
        <v>1</v>
      </c>
      <c r="AL281" s="334">
        <v>1.1200000000000001</v>
      </c>
      <c r="AM281" s="335">
        <v>1.22</v>
      </c>
      <c r="AN281" s="334">
        <v>1.28</v>
      </c>
      <c r="AO281" s="334">
        <v>1.32</v>
      </c>
      <c r="AQ281" s="333">
        <v>320</v>
      </c>
      <c r="AR281" s="334">
        <v>1</v>
      </c>
      <c r="AS281" s="334">
        <v>1.18</v>
      </c>
      <c r="AT281" s="335">
        <v>1.32</v>
      </c>
      <c r="AU281" s="334">
        <v>1.44</v>
      </c>
      <c r="AV281" s="334">
        <v>1.52</v>
      </c>
      <c r="AX281" s="333">
        <v>320</v>
      </c>
      <c r="AY281" s="334">
        <v>1</v>
      </c>
      <c r="AZ281" s="334">
        <v>1.19</v>
      </c>
      <c r="BA281" s="335">
        <v>1.37</v>
      </c>
      <c r="BB281" s="334">
        <v>1.5</v>
      </c>
      <c r="BC281" s="334">
        <v>1.61</v>
      </c>
      <c r="BE281" s="333">
        <v>320</v>
      </c>
      <c r="BF281" s="334">
        <v>1</v>
      </c>
      <c r="BG281" s="334">
        <v>1.19</v>
      </c>
      <c r="BH281" s="335">
        <v>1.35</v>
      </c>
      <c r="BI281" s="334">
        <v>1.49</v>
      </c>
      <c r="BJ281" s="334">
        <v>1.57</v>
      </c>
      <c r="BL281" s="333">
        <v>320</v>
      </c>
      <c r="BM281" s="334">
        <v>1</v>
      </c>
      <c r="BN281" s="334">
        <v>1.1399999999999999</v>
      </c>
      <c r="BO281" s="335">
        <v>1.26</v>
      </c>
      <c r="BP281" s="334">
        <v>1.35</v>
      </c>
      <c r="BQ281" s="334">
        <v>1.4</v>
      </c>
      <c r="BS281" s="333">
        <v>320</v>
      </c>
      <c r="BT281" s="334">
        <v>1</v>
      </c>
      <c r="BU281" s="334">
        <v>1.0900000000000001</v>
      </c>
      <c r="BV281" s="335">
        <v>1.1599999999999999</v>
      </c>
      <c r="BW281" s="334">
        <v>1.2</v>
      </c>
      <c r="BX281" s="334">
        <v>1.21</v>
      </c>
      <c r="BZ281" s="333">
        <v>320</v>
      </c>
      <c r="CA281" s="334">
        <v>1</v>
      </c>
      <c r="CB281" s="334">
        <v>1.05</v>
      </c>
      <c r="CC281" s="335">
        <v>1.08</v>
      </c>
      <c r="CD281" s="334">
        <v>1.08</v>
      </c>
      <c r="CE281" s="334">
        <v>1.06</v>
      </c>
      <c r="CG281" s="333">
        <v>320</v>
      </c>
      <c r="CH281" s="334">
        <v>1</v>
      </c>
      <c r="CI281" s="334">
        <v>1.02</v>
      </c>
      <c r="CJ281" s="335">
        <v>1.02</v>
      </c>
      <c r="CK281" s="334">
        <v>1</v>
      </c>
      <c r="CL281" s="334">
        <v>0.96</v>
      </c>
      <c r="CN281" s="333">
        <v>320</v>
      </c>
      <c r="CO281" s="334">
        <v>1</v>
      </c>
      <c r="CP281" s="334">
        <v>1.01</v>
      </c>
      <c r="CQ281" s="335">
        <v>0.99</v>
      </c>
      <c r="CR281" s="334">
        <v>0.96</v>
      </c>
      <c r="CS281" s="334">
        <v>0.91</v>
      </c>
    </row>
    <row r="282" spans="3:97" x14ac:dyDescent="0.25">
      <c r="C282" s="333">
        <v>70</v>
      </c>
      <c r="D282" s="334">
        <v>0.87</v>
      </c>
      <c r="E282" s="334">
        <v>0.9</v>
      </c>
      <c r="F282" s="334">
        <v>0.9</v>
      </c>
      <c r="G282" s="335">
        <v>0.89</v>
      </c>
      <c r="H282" s="334">
        <v>0.87</v>
      </c>
      <c r="I282" s="334">
        <v>0.83</v>
      </c>
      <c r="J282" s="334">
        <v>0.78</v>
      </c>
      <c r="K282" s="334">
        <v>0.72</v>
      </c>
      <c r="L282" s="334">
        <v>0.66</v>
      </c>
      <c r="M282" s="334">
        <v>0.59</v>
      </c>
      <c r="O282" s="333">
        <v>330</v>
      </c>
      <c r="P282" s="334">
        <v>1</v>
      </c>
      <c r="Q282" s="334">
        <v>1.01</v>
      </c>
      <c r="R282" s="335">
        <v>1.01</v>
      </c>
      <c r="S282" s="334">
        <v>0.97</v>
      </c>
      <c r="T282" s="334">
        <v>0.93</v>
      </c>
      <c r="V282" s="333">
        <v>330</v>
      </c>
      <c r="W282" s="334">
        <v>1</v>
      </c>
      <c r="X282" s="334">
        <v>1.04</v>
      </c>
      <c r="Y282" s="335">
        <v>1.05</v>
      </c>
      <c r="Z282" s="334">
        <v>1.05</v>
      </c>
      <c r="AA282" s="334">
        <v>1.02</v>
      </c>
      <c r="AC282" s="333">
        <v>330</v>
      </c>
      <c r="AD282" s="334">
        <v>1</v>
      </c>
      <c r="AE282" s="334">
        <v>1.08</v>
      </c>
      <c r="AF282" s="335">
        <v>1.1399999999999999</v>
      </c>
      <c r="AG282" s="334">
        <v>1.17</v>
      </c>
      <c r="AH282" s="334">
        <v>1.18</v>
      </c>
      <c r="AJ282" s="333">
        <v>330</v>
      </c>
      <c r="AK282" s="334">
        <v>1</v>
      </c>
      <c r="AL282" s="334">
        <v>1.1399999999999999</v>
      </c>
      <c r="AM282" s="335">
        <v>1.24</v>
      </c>
      <c r="AN282" s="334">
        <v>1.32</v>
      </c>
      <c r="AO282" s="334">
        <v>1.37</v>
      </c>
      <c r="AQ282" s="333">
        <v>330</v>
      </c>
      <c r="AR282" s="334">
        <v>1</v>
      </c>
      <c r="AS282" s="334">
        <v>1.19</v>
      </c>
      <c r="AT282" s="335">
        <v>1.36</v>
      </c>
      <c r="AU282" s="334">
        <v>1.5</v>
      </c>
      <c r="AV282" s="334">
        <v>1.59</v>
      </c>
      <c r="AX282" s="333">
        <v>330</v>
      </c>
      <c r="AY282" s="334">
        <v>1</v>
      </c>
      <c r="AZ282" s="334">
        <v>1.22</v>
      </c>
      <c r="BA282" s="335">
        <v>1.41</v>
      </c>
      <c r="BB282" s="334">
        <v>1.57</v>
      </c>
      <c r="BC282" s="334">
        <v>1.69</v>
      </c>
      <c r="BE282" s="333">
        <v>330</v>
      </c>
      <c r="BF282" s="334">
        <v>1</v>
      </c>
      <c r="BG282" s="334">
        <v>1.21</v>
      </c>
      <c r="BH282" s="335">
        <v>1.4</v>
      </c>
      <c r="BI282" s="334">
        <v>1.54</v>
      </c>
      <c r="BJ282" s="334">
        <v>1.66</v>
      </c>
      <c r="BL282" s="333">
        <v>330</v>
      </c>
      <c r="BM282" s="334">
        <v>1</v>
      </c>
      <c r="BN282" s="334">
        <v>1.1599999999999999</v>
      </c>
      <c r="BO282" s="335">
        <v>1.29</v>
      </c>
      <c r="BP282" s="334">
        <v>1.39</v>
      </c>
      <c r="BQ282" s="334">
        <v>1.46</v>
      </c>
      <c r="BS282" s="333">
        <v>330</v>
      </c>
      <c r="BT282" s="334">
        <v>1</v>
      </c>
      <c r="BU282" s="334">
        <v>1.1000000000000001</v>
      </c>
      <c r="BV282" s="335">
        <v>1.18</v>
      </c>
      <c r="BW282" s="334">
        <v>1.22</v>
      </c>
      <c r="BX282" s="334">
        <v>1.24</v>
      </c>
      <c r="BZ282" s="333">
        <v>330</v>
      </c>
      <c r="CA282" s="334">
        <v>1</v>
      </c>
      <c r="CB282" s="334">
        <v>1.05</v>
      </c>
      <c r="CC282" s="335">
        <v>1.0900000000000001</v>
      </c>
      <c r="CD282" s="334">
        <v>1.0900000000000001</v>
      </c>
      <c r="CE282" s="334">
        <v>1.07</v>
      </c>
      <c r="CG282" s="333">
        <v>330</v>
      </c>
      <c r="CH282" s="334">
        <v>1</v>
      </c>
      <c r="CI282" s="334">
        <v>1.02</v>
      </c>
      <c r="CJ282" s="335">
        <v>1.02</v>
      </c>
      <c r="CK282" s="334">
        <v>1</v>
      </c>
      <c r="CL282" s="334">
        <v>0.95</v>
      </c>
      <c r="CN282" s="333">
        <v>330</v>
      </c>
      <c r="CO282" s="334">
        <v>1</v>
      </c>
      <c r="CP282" s="334">
        <v>1.01</v>
      </c>
      <c r="CQ282" s="335">
        <v>0.99</v>
      </c>
      <c r="CR282" s="334">
        <v>0.95</v>
      </c>
      <c r="CS282" s="334">
        <v>0.9</v>
      </c>
    </row>
    <row r="283" spans="3:97" x14ac:dyDescent="0.25">
      <c r="C283" s="333">
        <v>80</v>
      </c>
      <c r="D283" s="334">
        <v>0.87</v>
      </c>
      <c r="E283" s="334">
        <v>0.89</v>
      </c>
      <c r="F283" s="334">
        <v>0.88</v>
      </c>
      <c r="G283" s="335">
        <v>0.87</v>
      </c>
      <c r="H283" s="334">
        <v>0.84</v>
      </c>
      <c r="I283" s="334">
        <v>0.8</v>
      </c>
      <c r="J283" s="334">
        <v>0.75</v>
      </c>
      <c r="K283" s="334">
        <v>0.69</v>
      </c>
      <c r="L283" s="334">
        <v>0.63</v>
      </c>
      <c r="M283" s="334">
        <v>0.56000000000000005</v>
      </c>
      <c r="O283" s="333">
        <v>340</v>
      </c>
      <c r="P283" s="334">
        <v>1</v>
      </c>
      <c r="Q283" s="334">
        <v>1.01</v>
      </c>
      <c r="R283" s="335">
        <v>1.01</v>
      </c>
      <c r="S283" s="334">
        <v>0.97</v>
      </c>
      <c r="T283" s="334">
        <v>0.92</v>
      </c>
      <c r="V283" s="333">
        <v>340</v>
      </c>
      <c r="W283" s="334">
        <v>1</v>
      </c>
      <c r="X283" s="334">
        <v>1.04</v>
      </c>
      <c r="Y283" s="335">
        <v>1.06</v>
      </c>
      <c r="Z283" s="334">
        <v>1.05</v>
      </c>
      <c r="AA283" s="334">
        <v>1.02</v>
      </c>
      <c r="AC283" s="333">
        <v>340</v>
      </c>
      <c r="AD283" s="334">
        <v>1</v>
      </c>
      <c r="AE283" s="334">
        <v>1.0900000000000001</v>
      </c>
      <c r="AF283" s="335">
        <v>1.1499999999999999</v>
      </c>
      <c r="AG283" s="334">
        <v>1.18</v>
      </c>
      <c r="AH283" s="334">
        <v>1.19</v>
      </c>
      <c r="AJ283" s="333">
        <v>340</v>
      </c>
      <c r="AK283" s="334">
        <v>1</v>
      </c>
      <c r="AL283" s="334">
        <v>1.1399999999999999</v>
      </c>
      <c r="AM283" s="335">
        <v>1.26</v>
      </c>
      <c r="AN283" s="334">
        <v>1.35</v>
      </c>
      <c r="AO283" s="334">
        <v>1.4</v>
      </c>
      <c r="AQ283" s="333">
        <v>340</v>
      </c>
      <c r="AR283" s="334">
        <v>1</v>
      </c>
      <c r="AS283" s="334">
        <v>1.21</v>
      </c>
      <c r="AT283" s="335">
        <v>1.4</v>
      </c>
      <c r="AU283" s="334">
        <v>1.54</v>
      </c>
      <c r="AV283" s="334">
        <v>1.65</v>
      </c>
      <c r="AX283" s="333">
        <v>340</v>
      </c>
      <c r="AY283" s="334">
        <v>1</v>
      </c>
      <c r="AZ283" s="334">
        <v>1.23</v>
      </c>
      <c r="BA283" s="335">
        <v>1.45</v>
      </c>
      <c r="BB283" s="334">
        <v>1.62</v>
      </c>
      <c r="BC283" s="334">
        <v>1.76</v>
      </c>
      <c r="BE283" s="333">
        <v>340</v>
      </c>
      <c r="BF283" s="334">
        <v>1</v>
      </c>
      <c r="BG283" s="334">
        <v>1.23</v>
      </c>
      <c r="BH283" s="335">
        <v>1.43</v>
      </c>
      <c r="BI283" s="334">
        <v>1.59</v>
      </c>
      <c r="BJ283" s="334">
        <v>1.71</v>
      </c>
      <c r="BL283" s="333">
        <v>340</v>
      </c>
      <c r="BM283" s="334">
        <v>1</v>
      </c>
      <c r="BN283" s="334">
        <v>1.18</v>
      </c>
      <c r="BO283" s="335">
        <v>1.32</v>
      </c>
      <c r="BP283" s="334">
        <v>1.43</v>
      </c>
      <c r="BQ283" s="334">
        <v>1.5</v>
      </c>
      <c r="BS283" s="333">
        <v>340</v>
      </c>
      <c r="BT283" s="334">
        <v>1</v>
      </c>
      <c r="BU283" s="334">
        <v>1.1100000000000001</v>
      </c>
      <c r="BV283" s="335">
        <v>1.2</v>
      </c>
      <c r="BW283" s="334">
        <v>1.25</v>
      </c>
      <c r="BX283" s="334">
        <v>1.27</v>
      </c>
      <c r="BZ283" s="333">
        <v>340</v>
      </c>
      <c r="CA283" s="334">
        <v>1</v>
      </c>
      <c r="CB283" s="334">
        <v>1.06</v>
      </c>
      <c r="CC283" s="335">
        <v>1.0900000000000001</v>
      </c>
      <c r="CD283" s="334">
        <v>1.1000000000000001</v>
      </c>
      <c r="CE283" s="334">
        <v>1.08</v>
      </c>
      <c r="CG283" s="333">
        <v>340</v>
      </c>
      <c r="CH283" s="334">
        <v>1</v>
      </c>
      <c r="CI283" s="334">
        <v>1.02</v>
      </c>
      <c r="CJ283" s="335">
        <v>1.02</v>
      </c>
      <c r="CK283" s="334">
        <v>1</v>
      </c>
      <c r="CL283" s="334">
        <v>0.95</v>
      </c>
      <c r="CN283" s="333">
        <v>340</v>
      </c>
      <c r="CO283" s="334">
        <v>1</v>
      </c>
      <c r="CP283" s="334">
        <v>1</v>
      </c>
      <c r="CQ283" s="335">
        <v>0.99</v>
      </c>
      <c r="CR283" s="334">
        <v>0.95</v>
      </c>
      <c r="CS283" s="334">
        <v>0.89</v>
      </c>
    </row>
    <row r="284" spans="3:97" x14ac:dyDescent="0.25">
      <c r="C284" s="333">
        <v>90</v>
      </c>
      <c r="D284" s="334">
        <v>0.87</v>
      </c>
      <c r="E284" s="334">
        <v>0.88</v>
      </c>
      <c r="F284" s="334">
        <v>0.86</v>
      </c>
      <c r="G284" s="335">
        <v>0.84</v>
      </c>
      <c r="H284" s="334">
        <v>0.8</v>
      </c>
      <c r="I284" s="334">
        <v>0.76</v>
      </c>
      <c r="J284" s="334">
        <v>0.71</v>
      </c>
      <c r="K284" s="334">
        <v>0.65</v>
      </c>
      <c r="L284" s="334">
        <v>0.59</v>
      </c>
      <c r="M284" s="334">
        <v>0.53</v>
      </c>
      <c r="O284" s="333">
        <v>350</v>
      </c>
      <c r="P284" s="334">
        <v>1</v>
      </c>
      <c r="Q284" s="334">
        <v>1.01</v>
      </c>
      <c r="R284" s="335">
        <v>1</v>
      </c>
      <c r="S284" s="334">
        <v>0.97</v>
      </c>
      <c r="T284" s="334">
        <v>0.92</v>
      </c>
      <c r="V284" s="333">
        <v>350</v>
      </c>
      <c r="W284" s="334">
        <v>1</v>
      </c>
      <c r="X284" s="334">
        <v>1.04</v>
      </c>
      <c r="Y284" s="335">
        <v>1.06</v>
      </c>
      <c r="Z284" s="334">
        <v>1.05</v>
      </c>
      <c r="AA284" s="334">
        <v>1.02</v>
      </c>
      <c r="AC284" s="333">
        <v>350</v>
      </c>
      <c r="AD284" s="334">
        <v>1</v>
      </c>
      <c r="AE284" s="334">
        <v>1.0900000000000001</v>
      </c>
      <c r="AF284" s="335">
        <v>1.1599999999999999</v>
      </c>
      <c r="AG284" s="334">
        <v>1.19</v>
      </c>
      <c r="AH284" s="334">
        <v>1.2</v>
      </c>
      <c r="AJ284" s="333">
        <v>350</v>
      </c>
      <c r="AK284" s="334">
        <v>1</v>
      </c>
      <c r="AL284" s="334">
        <v>1.1499999999999999</v>
      </c>
      <c r="AM284" s="335">
        <v>1.27</v>
      </c>
      <c r="AN284" s="334">
        <v>1.37</v>
      </c>
      <c r="AO284" s="334">
        <v>1.42</v>
      </c>
      <c r="AQ284" s="333">
        <v>350</v>
      </c>
      <c r="AR284" s="334">
        <v>1</v>
      </c>
      <c r="AS284" s="334">
        <v>1.22</v>
      </c>
      <c r="AT284" s="335">
        <v>1.42</v>
      </c>
      <c r="AU284" s="334">
        <v>1.57</v>
      </c>
      <c r="AV284" s="334">
        <v>1.69</v>
      </c>
      <c r="AX284" s="333">
        <v>350</v>
      </c>
      <c r="AY284" s="334">
        <v>1</v>
      </c>
      <c r="AZ284" s="334">
        <v>1.24</v>
      </c>
      <c r="BA284" s="335">
        <v>1.47</v>
      </c>
      <c r="BB284" s="334">
        <v>1.65</v>
      </c>
      <c r="BC284" s="334">
        <v>1.79</v>
      </c>
      <c r="BE284" s="333">
        <v>350</v>
      </c>
      <c r="BF284" s="334">
        <v>1</v>
      </c>
      <c r="BG284" s="334">
        <v>1.24</v>
      </c>
      <c r="BH284" s="335">
        <v>1.45</v>
      </c>
      <c r="BI284" s="334">
        <v>1.62</v>
      </c>
      <c r="BJ284" s="334">
        <v>1.75</v>
      </c>
      <c r="BL284" s="333">
        <v>350</v>
      </c>
      <c r="BM284" s="334">
        <v>1</v>
      </c>
      <c r="BN284" s="334">
        <v>1.18</v>
      </c>
      <c r="BO284" s="335">
        <v>1.33</v>
      </c>
      <c r="BP284" s="334">
        <v>1.45</v>
      </c>
      <c r="BQ284" s="334">
        <v>1.53</v>
      </c>
      <c r="BS284" s="333">
        <v>350</v>
      </c>
      <c r="BT284" s="334">
        <v>1</v>
      </c>
      <c r="BU284" s="334">
        <v>1.1200000000000001</v>
      </c>
      <c r="BV284" s="335">
        <v>1.21</v>
      </c>
      <c r="BW284" s="334">
        <v>1.26</v>
      </c>
      <c r="BX284" s="334">
        <v>1.29</v>
      </c>
      <c r="BZ284" s="333">
        <v>350</v>
      </c>
      <c r="CA284" s="334">
        <v>1</v>
      </c>
      <c r="CB284" s="334">
        <v>1.06</v>
      </c>
      <c r="CC284" s="335">
        <v>1.0900000000000001</v>
      </c>
      <c r="CD284" s="334">
        <v>1.1000000000000001</v>
      </c>
      <c r="CE284" s="334">
        <v>1.08</v>
      </c>
      <c r="CG284" s="333">
        <v>350</v>
      </c>
      <c r="CH284" s="334">
        <v>1</v>
      </c>
      <c r="CI284" s="334">
        <v>1.02</v>
      </c>
      <c r="CJ284" s="335">
        <v>1.02</v>
      </c>
      <c r="CK284" s="334">
        <v>0.99</v>
      </c>
      <c r="CL284" s="334">
        <v>0.95</v>
      </c>
      <c r="CN284" s="333">
        <v>350</v>
      </c>
      <c r="CO284" s="334">
        <v>1</v>
      </c>
      <c r="CP284" s="334">
        <v>1</v>
      </c>
      <c r="CQ284" s="335">
        <v>0.99</v>
      </c>
      <c r="CR284" s="334">
        <v>0.95</v>
      </c>
      <c r="CS284" s="334">
        <v>0.89</v>
      </c>
    </row>
    <row r="285" spans="3:97" x14ac:dyDescent="0.25">
      <c r="C285" s="333">
        <v>100</v>
      </c>
      <c r="D285" s="334">
        <v>0.87</v>
      </c>
      <c r="E285" s="334">
        <v>0.87</v>
      </c>
      <c r="F285" s="334">
        <v>0.84</v>
      </c>
      <c r="G285" s="335">
        <v>0.81</v>
      </c>
      <c r="H285" s="334">
        <v>0.77</v>
      </c>
      <c r="I285" s="334">
        <v>0.72</v>
      </c>
      <c r="J285" s="334">
        <v>0.67</v>
      </c>
      <c r="K285" s="334">
        <v>0.61</v>
      </c>
      <c r="L285" s="334">
        <v>0.56000000000000005</v>
      </c>
      <c r="M285" s="334">
        <v>0.5</v>
      </c>
      <c r="O285" s="333">
        <v>0</v>
      </c>
      <c r="P285" s="334">
        <v>1</v>
      </c>
      <c r="Q285" s="334">
        <v>1.01</v>
      </c>
      <c r="R285" s="335">
        <v>1</v>
      </c>
      <c r="S285" s="334">
        <v>0.97</v>
      </c>
      <c r="T285" s="334">
        <v>0.92</v>
      </c>
      <c r="V285" s="333">
        <v>0</v>
      </c>
      <c r="W285" s="334">
        <v>1</v>
      </c>
      <c r="X285" s="334">
        <v>1.04</v>
      </c>
      <c r="Y285" s="335">
        <v>1.06</v>
      </c>
      <c r="Z285" s="334">
        <v>1.05</v>
      </c>
      <c r="AA285" s="334">
        <v>1.02</v>
      </c>
      <c r="AC285" s="333">
        <v>0</v>
      </c>
      <c r="AD285" s="334">
        <v>1</v>
      </c>
      <c r="AE285" s="334">
        <v>1.0900000000000001</v>
      </c>
      <c r="AF285" s="335">
        <v>1.1599999999999999</v>
      </c>
      <c r="AG285" s="334">
        <v>1.19</v>
      </c>
      <c r="AH285" s="334">
        <v>1.2</v>
      </c>
      <c r="AJ285" s="333">
        <v>0</v>
      </c>
      <c r="AK285" s="334">
        <v>1</v>
      </c>
      <c r="AL285" s="334">
        <v>1.1499999999999999</v>
      </c>
      <c r="AM285" s="335">
        <v>1.28</v>
      </c>
      <c r="AN285" s="334">
        <v>1.37</v>
      </c>
      <c r="AO285" s="334">
        <v>1.43</v>
      </c>
      <c r="AQ285" s="333">
        <v>0</v>
      </c>
      <c r="AR285" s="334">
        <v>1</v>
      </c>
      <c r="AS285" s="334">
        <v>1.22</v>
      </c>
      <c r="AT285" s="335">
        <v>1.42</v>
      </c>
      <c r="AU285" s="334">
        <v>1.58</v>
      </c>
      <c r="AV285" s="334">
        <v>1.69</v>
      </c>
      <c r="AX285" s="333">
        <v>0</v>
      </c>
      <c r="AY285" s="334">
        <v>1</v>
      </c>
      <c r="AZ285" s="334">
        <v>1.26</v>
      </c>
      <c r="BA285" s="335">
        <v>1.47</v>
      </c>
      <c r="BB285" s="334">
        <v>1.66</v>
      </c>
      <c r="BC285" s="334">
        <v>1.8</v>
      </c>
      <c r="BE285" s="333">
        <v>0</v>
      </c>
      <c r="BF285" s="334">
        <v>1</v>
      </c>
      <c r="BG285" s="334">
        <v>1.24</v>
      </c>
      <c r="BH285" s="335">
        <v>1.46</v>
      </c>
      <c r="BI285" s="334">
        <v>1.63</v>
      </c>
      <c r="BJ285" s="334">
        <v>1.76</v>
      </c>
      <c r="BL285" s="333">
        <v>0</v>
      </c>
      <c r="BM285" s="334">
        <v>1</v>
      </c>
      <c r="BN285" s="334">
        <v>1.18</v>
      </c>
      <c r="BO285" s="335">
        <v>1.34</v>
      </c>
      <c r="BP285" s="334">
        <v>1.46</v>
      </c>
      <c r="BQ285" s="334">
        <v>1.54</v>
      </c>
      <c r="BS285" s="333">
        <v>0</v>
      </c>
      <c r="BT285" s="334">
        <v>1</v>
      </c>
      <c r="BU285" s="334">
        <v>1.1200000000000001</v>
      </c>
      <c r="BV285" s="335">
        <v>1.21</v>
      </c>
      <c r="BW285" s="334">
        <v>1.27</v>
      </c>
      <c r="BX285" s="334">
        <v>1.29</v>
      </c>
      <c r="BZ285" s="333">
        <v>0</v>
      </c>
      <c r="CA285" s="334">
        <v>1</v>
      </c>
      <c r="CB285" s="334">
        <v>1.06</v>
      </c>
      <c r="CC285" s="335">
        <v>1.1000000000000001</v>
      </c>
      <c r="CD285" s="334">
        <v>1.1000000000000001</v>
      </c>
      <c r="CE285" s="334">
        <v>1.08</v>
      </c>
      <c r="CG285" s="333">
        <v>0</v>
      </c>
      <c r="CH285" s="334">
        <v>1</v>
      </c>
      <c r="CI285" s="334">
        <v>1.02</v>
      </c>
      <c r="CJ285" s="335">
        <v>1.02</v>
      </c>
      <c r="CK285" s="334">
        <v>0.99</v>
      </c>
      <c r="CL285" s="334">
        <v>0.94</v>
      </c>
      <c r="CN285" s="333">
        <v>0</v>
      </c>
      <c r="CO285" s="334">
        <v>1</v>
      </c>
      <c r="CP285" s="334">
        <v>1</v>
      </c>
      <c r="CQ285" s="335">
        <v>0.99</v>
      </c>
      <c r="CR285" s="334">
        <v>0.94</v>
      </c>
      <c r="CS285" s="334">
        <v>0.88</v>
      </c>
    </row>
    <row r="286" spans="3:97" x14ac:dyDescent="0.25">
      <c r="C286" s="333">
        <v>110</v>
      </c>
      <c r="D286" s="334">
        <v>0.87</v>
      </c>
      <c r="E286" s="334">
        <v>0.86</v>
      </c>
      <c r="F286" s="334">
        <v>0.82</v>
      </c>
      <c r="G286" s="335">
        <v>0.78</v>
      </c>
      <c r="H286" s="334">
        <v>0.73</v>
      </c>
      <c r="I286" s="334">
        <v>0.68</v>
      </c>
      <c r="J286" s="334">
        <v>0.62</v>
      </c>
      <c r="K286" s="334">
        <v>0.56999999999999995</v>
      </c>
      <c r="L286" s="334">
        <v>0.51</v>
      </c>
      <c r="M286" s="334">
        <v>0.46</v>
      </c>
      <c r="O286" s="333">
        <v>10</v>
      </c>
      <c r="P286" s="334">
        <v>1</v>
      </c>
      <c r="Q286" s="334">
        <v>1.01</v>
      </c>
      <c r="R286" s="335">
        <v>1</v>
      </c>
      <c r="S286" s="334">
        <v>0.97</v>
      </c>
      <c r="T286" s="334">
        <v>0.92</v>
      </c>
      <c r="V286" s="333">
        <v>10</v>
      </c>
      <c r="W286" s="334">
        <v>1</v>
      </c>
      <c r="X286" s="334">
        <v>1.04</v>
      </c>
      <c r="Y286" s="335">
        <v>1.06</v>
      </c>
      <c r="Z286" s="334">
        <v>1.05</v>
      </c>
      <c r="AA286" s="334">
        <v>1.02</v>
      </c>
      <c r="AC286" s="333">
        <v>10</v>
      </c>
      <c r="AD286" s="334">
        <v>1</v>
      </c>
      <c r="AE286" s="334">
        <v>1.0900000000000001</v>
      </c>
      <c r="AF286" s="335">
        <v>1.1499999999999999</v>
      </c>
      <c r="AG286" s="334">
        <v>1.19</v>
      </c>
      <c r="AH286" s="334">
        <v>1.19</v>
      </c>
      <c r="AJ286" s="333">
        <v>10</v>
      </c>
      <c r="AK286" s="334">
        <v>1</v>
      </c>
      <c r="AL286" s="334">
        <v>1.1499999999999999</v>
      </c>
      <c r="AM286" s="335">
        <v>1.27</v>
      </c>
      <c r="AN286" s="334">
        <v>1.37</v>
      </c>
      <c r="AO286" s="334">
        <v>1.42</v>
      </c>
      <c r="AQ286" s="333">
        <v>10</v>
      </c>
      <c r="AR286" s="334">
        <v>1</v>
      </c>
      <c r="AS286" s="334">
        <v>1.22</v>
      </c>
      <c r="AT286" s="335">
        <v>1.42</v>
      </c>
      <c r="AU286" s="334">
        <v>1.57</v>
      </c>
      <c r="AV286" s="334">
        <v>1.68</v>
      </c>
      <c r="AX286" s="333">
        <v>10</v>
      </c>
      <c r="AY286" s="334">
        <v>1</v>
      </c>
      <c r="AZ286" s="334">
        <v>1.24</v>
      </c>
      <c r="BA286" s="335">
        <v>1.47</v>
      </c>
      <c r="BB286" s="334">
        <v>1.65</v>
      </c>
      <c r="BC286" s="334">
        <v>1.79</v>
      </c>
      <c r="BE286" s="333">
        <v>10</v>
      </c>
      <c r="BF286" s="334">
        <v>1</v>
      </c>
      <c r="BG286" s="334">
        <v>1.24</v>
      </c>
      <c r="BH286" s="335">
        <v>1.45</v>
      </c>
      <c r="BI286" s="334">
        <v>1.61</v>
      </c>
      <c r="BJ286" s="334">
        <v>1.74</v>
      </c>
      <c r="BL286" s="333">
        <v>10</v>
      </c>
      <c r="BM286" s="334">
        <v>1</v>
      </c>
      <c r="BN286" s="334">
        <v>1.18</v>
      </c>
      <c r="BO286" s="335">
        <v>1.33</v>
      </c>
      <c r="BP286" s="334">
        <v>1.45</v>
      </c>
      <c r="BQ286" s="334">
        <v>1.53</v>
      </c>
      <c r="BS286" s="333">
        <v>10</v>
      </c>
      <c r="BT286" s="334">
        <v>1</v>
      </c>
      <c r="BU286" s="334">
        <v>1.1200000000000001</v>
      </c>
      <c r="BV286" s="335">
        <v>1.21</v>
      </c>
      <c r="BW286" s="334">
        <v>1.26</v>
      </c>
      <c r="BX286" s="334">
        <v>1.29</v>
      </c>
      <c r="BZ286" s="333">
        <v>10</v>
      </c>
      <c r="CA286" s="334">
        <v>1</v>
      </c>
      <c r="CB286" s="334">
        <v>1.06</v>
      </c>
      <c r="CC286" s="335">
        <v>1.0900000000000001</v>
      </c>
      <c r="CD286" s="334">
        <v>1.1000000000000001</v>
      </c>
      <c r="CE286" s="334">
        <v>1.08</v>
      </c>
      <c r="CG286" s="333">
        <v>10</v>
      </c>
      <c r="CH286" s="334">
        <v>1</v>
      </c>
      <c r="CI286" s="334">
        <v>1.02</v>
      </c>
      <c r="CJ286" s="335">
        <v>1.02</v>
      </c>
      <c r="CK286" s="334">
        <v>1</v>
      </c>
      <c r="CL286" s="334">
        <v>0.95</v>
      </c>
      <c r="CN286" s="333">
        <v>10</v>
      </c>
      <c r="CO286" s="334">
        <v>1</v>
      </c>
      <c r="CP286" s="334">
        <v>1</v>
      </c>
      <c r="CQ286" s="335">
        <v>0.99</v>
      </c>
      <c r="CR286" s="334">
        <v>0.95</v>
      </c>
      <c r="CS286" s="334">
        <v>0.89</v>
      </c>
    </row>
    <row r="287" spans="3:97" x14ac:dyDescent="0.25">
      <c r="C287" s="333">
        <v>120</v>
      </c>
      <c r="D287" s="334">
        <v>0.87</v>
      </c>
      <c r="E287" s="334">
        <v>0.85</v>
      </c>
      <c r="F287" s="334">
        <v>0.8</v>
      </c>
      <c r="G287" s="335">
        <v>0.75</v>
      </c>
      <c r="H287" s="334">
        <v>0.69</v>
      </c>
      <c r="I287" s="334">
        <v>0.63</v>
      </c>
      <c r="J287" s="334">
        <v>0.57999999999999996</v>
      </c>
      <c r="K287" s="334">
        <v>0.52</v>
      </c>
      <c r="L287" s="334">
        <v>0.47</v>
      </c>
      <c r="M287" s="334">
        <v>0.42</v>
      </c>
      <c r="O287" s="333">
        <v>20</v>
      </c>
      <c r="P287" s="334">
        <v>1</v>
      </c>
      <c r="Q287" s="334">
        <v>1.01</v>
      </c>
      <c r="R287" s="335">
        <v>1</v>
      </c>
      <c r="S287" s="334">
        <v>0.97</v>
      </c>
      <c r="T287" s="334">
        <v>0.92</v>
      </c>
      <c r="V287" s="333">
        <v>20</v>
      </c>
      <c r="W287" s="334">
        <v>1</v>
      </c>
      <c r="X287" s="334">
        <v>1.04</v>
      </c>
      <c r="Y287" s="335">
        <v>1.05</v>
      </c>
      <c r="Z287" s="334">
        <v>1.05</v>
      </c>
      <c r="AA287" s="334">
        <v>1.02</v>
      </c>
      <c r="AC287" s="333">
        <v>20</v>
      </c>
      <c r="AD287" s="334">
        <v>1</v>
      </c>
      <c r="AE287" s="334">
        <v>1.0900000000000001</v>
      </c>
      <c r="AF287" s="335">
        <v>1.1399999999999999</v>
      </c>
      <c r="AG287" s="334">
        <v>1.18</v>
      </c>
      <c r="AH287" s="334">
        <v>1.18</v>
      </c>
      <c r="AJ287" s="333">
        <v>20</v>
      </c>
      <c r="AK287" s="334">
        <v>1</v>
      </c>
      <c r="AL287" s="334">
        <v>1.1399999999999999</v>
      </c>
      <c r="AM287" s="335">
        <v>1.26</v>
      </c>
      <c r="AN287" s="334">
        <v>1.35</v>
      </c>
      <c r="AO287" s="334">
        <v>1.4</v>
      </c>
      <c r="AQ287" s="333">
        <v>20</v>
      </c>
      <c r="AR287" s="334">
        <v>1</v>
      </c>
      <c r="AS287" s="334">
        <v>1.21</v>
      </c>
      <c r="AT287" s="335">
        <v>1.39</v>
      </c>
      <c r="AU287" s="334">
        <v>1.53</v>
      </c>
      <c r="AV287" s="334">
        <v>1.64</v>
      </c>
      <c r="AX287" s="333">
        <v>20</v>
      </c>
      <c r="AY287" s="334">
        <v>1</v>
      </c>
      <c r="AZ287" s="334">
        <v>1.23</v>
      </c>
      <c r="BA287" s="335">
        <v>1.44</v>
      </c>
      <c r="BB287" s="334">
        <v>1.61</v>
      </c>
      <c r="BC287" s="334">
        <v>1.74</v>
      </c>
      <c r="BE287" s="333">
        <v>20</v>
      </c>
      <c r="BF287" s="334">
        <v>1</v>
      </c>
      <c r="BG287" s="334">
        <v>1.23</v>
      </c>
      <c r="BH287" s="335">
        <v>1.42</v>
      </c>
      <c r="BI287" s="334">
        <v>1.58</v>
      </c>
      <c r="BJ287" s="334">
        <v>1.7</v>
      </c>
      <c r="BL287" s="333">
        <v>20</v>
      </c>
      <c r="BM287" s="334">
        <v>1</v>
      </c>
      <c r="BN287" s="334">
        <v>1.17</v>
      </c>
      <c r="BO287" s="335">
        <v>1.32</v>
      </c>
      <c r="BP287" s="334">
        <v>1.43</v>
      </c>
      <c r="BQ287" s="334">
        <v>1.5</v>
      </c>
      <c r="BS287" s="333">
        <v>20</v>
      </c>
      <c r="BT287" s="334">
        <v>1</v>
      </c>
      <c r="BU287" s="334">
        <v>1.1100000000000001</v>
      </c>
      <c r="BV287" s="335">
        <v>1.2</v>
      </c>
      <c r="BW287" s="334">
        <v>1.25</v>
      </c>
      <c r="BX287" s="334">
        <v>1.27</v>
      </c>
      <c r="BZ287" s="333">
        <v>20</v>
      </c>
      <c r="CA287" s="334">
        <v>1</v>
      </c>
      <c r="CB287" s="334">
        <v>1.05</v>
      </c>
      <c r="CC287" s="335">
        <v>1.0900000000000001</v>
      </c>
      <c r="CD287" s="334">
        <v>1.0900000000000001</v>
      </c>
      <c r="CE287" s="334">
        <v>1.07</v>
      </c>
      <c r="CG287" s="333">
        <v>20</v>
      </c>
      <c r="CH287" s="334">
        <v>1</v>
      </c>
      <c r="CI287" s="334">
        <v>1.02</v>
      </c>
      <c r="CJ287" s="335">
        <v>1.02</v>
      </c>
      <c r="CK287" s="334">
        <v>1</v>
      </c>
      <c r="CL287" s="334">
        <v>0.95</v>
      </c>
      <c r="CN287" s="333">
        <v>20</v>
      </c>
      <c r="CO287" s="334">
        <v>1</v>
      </c>
      <c r="CP287" s="334">
        <v>1</v>
      </c>
      <c r="CQ287" s="335">
        <v>0.99</v>
      </c>
      <c r="CR287" s="334">
        <v>0.95</v>
      </c>
      <c r="CS287" s="334">
        <v>0.89</v>
      </c>
    </row>
    <row r="288" spans="3:97" x14ac:dyDescent="0.25">
      <c r="C288" s="333">
        <v>130</v>
      </c>
      <c r="D288" s="334">
        <v>0.87</v>
      </c>
      <c r="E288" s="334">
        <v>0.84</v>
      </c>
      <c r="F288" s="334">
        <v>0.78</v>
      </c>
      <c r="G288" s="335">
        <v>0.72</v>
      </c>
      <c r="H288" s="334">
        <v>0.66</v>
      </c>
      <c r="I288" s="334">
        <v>0.59</v>
      </c>
      <c r="J288" s="334">
        <v>0.53</v>
      </c>
      <c r="K288" s="334">
        <v>0.48</v>
      </c>
      <c r="L288" s="334">
        <v>0.43</v>
      </c>
      <c r="M288" s="334">
        <v>0.38</v>
      </c>
      <c r="O288" s="333">
        <v>30</v>
      </c>
      <c r="P288" s="334">
        <v>1</v>
      </c>
      <c r="Q288" s="334">
        <v>1.01</v>
      </c>
      <c r="R288" s="335">
        <v>1</v>
      </c>
      <c r="S288" s="334">
        <v>0.97</v>
      </c>
      <c r="T288" s="334">
        <v>0.92</v>
      </c>
      <c r="V288" s="333">
        <v>30</v>
      </c>
      <c r="W288" s="334">
        <v>1</v>
      </c>
      <c r="X288" s="334">
        <v>1.04</v>
      </c>
      <c r="Y288" s="335">
        <v>1.05</v>
      </c>
      <c r="Z288" s="334">
        <v>1.05</v>
      </c>
      <c r="AA288" s="334">
        <v>1.02</v>
      </c>
      <c r="AC288" s="333">
        <v>30</v>
      </c>
      <c r="AD288" s="334">
        <v>1</v>
      </c>
      <c r="AE288" s="334">
        <v>1.08</v>
      </c>
      <c r="AF288" s="335">
        <v>1.1299999999999999</v>
      </c>
      <c r="AG288" s="334">
        <v>1.1599999999999999</v>
      </c>
      <c r="AH288" s="334">
        <v>1.1599999999999999</v>
      </c>
      <c r="AJ288" s="333">
        <v>30</v>
      </c>
      <c r="AK288" s="334">
        <v>1</v>
      </c>
      <c r="AL288" s="334">
        <v>1.1299999999999999</v>
      </c>
      <c r="AM288" s="335">
        <v>1.24</v>
      </c>
      <c r="AN288" s="334">
        <v>1.31</v>
      </c>
      <c r="AO288" s="334">
        <v>1.36</v>
      </c>
      <c r="AQ288" s="333">
        <v>30</v>
      </c>
      <c r="AR288" s="334">
        <v>1</v>
      </c>
      <c r="AS288" s="334">
        <v>1.19</v>
      </c>
      <c r="AT288" s="335">
        <v>1.36</v>
      </c>
      <c r="AU288" s="334">
        <v>1.49</v>
      </c>
      <c r="AV288" s="334">
        <v>1.58</v>
      </c>
      <c r="AX288" s="333">
        <v>30</v>
      </c>
      <c r="AY288" s="334">
        <v>1</v>
      </c>
      <c r="AZ288" s="334">
        <v>1.21</v>
      </c>
      <c r="BA288" s="335">
        <v>1.4</v>
      </c>
      <c r="BB288" s="334">
        <v>1.55</v>
      </c>
      <c r="BC288" s="334">
        <v>1.67</v>
      </c>
      <c r="BE288" s="333">
        <v>30</v>
      </c>
      <c r="BF288" s="334">
        <v>1</v>
      </c>
      <c r="BG288" s="334">
        <v>1.21</v>
      </c>
      <c r="BH288" s="335">
        <v>1.38</v>
      </c>
      <c r="BI288" s="334">
        <v>1.53</v>
      </c>
      <c r="BJ288" s="334">
        <v>1.63</v>
      </c>
      <c r="BL288" s="333">
        <v>30</v>
      </c>
      <c r="BM288" s="334">
        <v>1</v>
      </c>
      <c r="BN288" s="334">
        <v>1.1599999999999999</v>
      </c>
      <c r="BO288" s="335">
        <v>1.29</v>
      </c>
      <c r="BP288" s="334">
        <v>1.38</v>
      </c>
      <c r="BQ288" s="334">
        <v>1.45</v>
      </c>
      <c r="BS288" s="333">
        <v>30</v>
      </c>
      <c r="BT288" s="334">
        <v>1</v>
      </c>
      <c r="BU288" s="334">
        <v>1.1000000000000001</v>
      </c>
      <c r="BV288" s="335">
        <v>1.18</v>
      </c>
      <c r="BW288" s="334">
        <v>1.23</v>
      </c>
      <c r="BX288" s="334">
        <v>1.24</v>
      </c>
      <c r="BZ288" s="333">
        <v>30</v>
      </c>
      <c r="CA288" s="334">
        <v>1</v>
      </c>
      <c r="CB288" s="334">
        <v>1.05</v>
      </c>
      <c r="CC288" s="335">
        <v>1.08</v>
      </c>
      <c r="CD288" s="334">
        <v>1.08</v>
      </c>
      <c r="CE288" s="334">
        <v>1.06</v>
      </c>
      <c r="CG288" s="333">
        <v>30</v>
      </c>
      <c r="CH288" s="334">
        <v>1</v>
      </c>
      <c r="CI288" s="334">
        <v>1.02</v>
      </c>
      <c r="CJ288" s="335">
        <v>1.02</v>
      </c>
      <c r="CK288" s="334">
        <v>1</v>
      </c>
      <c r="CL288" s="334">
        <v>0.96</v>
      </c>
      <c r="CN288" s="333">
        <v>30</v>
      </c>
      <c r="CO288" s="334">
        <v>1</v>
      </c>
      <c r="CP288" s="334">
        <v>1</v>
      </c>
      <c r="CQ288" s="335">
        <v>0.99</v>
      </c>
      <c r="CR288" s="334">
        <v>0.95</v>
      </c>
      <c r="CS288" s="334">
        <v>0.9</v>
      </c>
    </row>
    <row r="289" spans="3:97" x14ac:dyDescent="0.25">
      <c r="C289" s="333">
        <v>140</v>
      </c>
      <c r="D289" s="334">
        <v>0.87</v>
      </c>
      <c r="E289" s="334">
        <v>0.83</v>
      </c>
      <c r="F289" s="334">
        <v>0.77</v>
      </c>
      <c r="G289" s="335">
        <v>0.7</v>
      </c>
      <c r="H289" s="334">
        <v>0.62</v>
      </c>
      <c r="I289" s="334">
        <v>0.55000000000000004</v>
      </c>
      <c r="J289" s="334">
        <v>0.49</v>
      </c>
      <c r="K289" s="334">
        <v>0.44</v>
      </c>
      <c r="L289" s="334">
        <v>0.39</v>
      </c>
      <c r="M289" s="334">
        <v>0.35</v>
      </c>
      <c r="O289" s="333">
        <v>40</v>
      </c>
      <c r="P289" s="334">
        <v>1</v>
      </c>
      <c r="Q289" s="334">
        <v>1.01</v>
      </c>
      <c r="R289" s="335">
        <v>1</v>
      </c>
      <c r="S289" s="334">
        <v>0.97</v>
      </c>
      <c r="T289" s="334">
        <v>0.93</v>
      </c>
      <c r="V289" s="333">
        <v>40</v>
      </c>
      <c r="W289" s="334">
        <v>1</v>
      </c>
      <c r="X289" s="334">
        <v>1.03</v>
      </c>
      <c r="Y289" s="335">
        <v>1.05</v>
      </c>
      <c r="Z289" s="334">
        <v>1.04</v>
      </c>
      <c r="AA289" s="334">
        <v>1.01</v>
      </c>
      <c r="AC289" s="333">
        <v>40</v>
      </c>
      <c r="AD289" s="334">
        <v>1</v>
      </c>
      <c r="AE289" s="334">
        <v>1.07</v>
      </c>
      <c r="AF289" s="335">
        <v>1.1200000000000001</v>
      </c>
      <c r="AG289" s="334">
        <v>1.1399999999999999</v>
      </c>
      <c r="AH289" s="334">
        <v>1.1399999999999999</v>
      </c>
      <c r="AJ289" s="333">
        <v>40</v>
      </c>
      <c r="AK289" s="334">
        <v>1</v>
      </c>
      <c r="AL289" s="334">
        <v>1.1200000000000001</v>
      </c>
      <c r="AM289" s="335">
        <v>1.21</v>
      </c>
      <c r="AN289" s="334">
        <v>1.28</v>
      </c>
      <c r="AO289" s="334">
        <v>1.31</v>
      </c>
      <c r="AQ289" s="333">
        <v>40</v>
      </c>
      <c r="AR289" s="334">
        <v>1</v>
      </c>
      <c r="AS289" s="334">
        <v>1.17</v>
      </c>
      <c r="AT289" s="335">
        <v>1.31</v>
      </c>
      <c r="AU289" s="334">
        <v>1.43</v>
      </c>
      <c r="AV289" s="334">
        <v>1.51</v>
      </c>
      <c r="AX289" s="333">
        <v>40</v>
      </c>
      <c r="AY289" s="334">
        <v>1</v>
      </c>
      <c r="AZ289" s="334">
        <v>1.19</v>
      </c>
      <c r="BA289" s="335">
        <v>1.35</v>
      </c>
      <c r="BB289" s="334">
        <v>1.49</v>
      </c>
      <c r="BC289" s="334">
        <v>1.59</v>
      </c>
      <c r="BE289" s="333">
        <v>40</v>
      </c>
      <c r="BF289" s="334">
        <v>1</v>
      </c>
      <c r="BG289" s="334">
        <v>1.18</v>
      </c>
      <c r="BH289" s="335">
        <v>1.34</v>
      </c>
      <c r="BI289" s="334">
        <v>1.46</v>
      </c>
      <c r="BJ289" s="334">
        <v>1.55</v>
      </c>
      <c r="BL289" s="333">
        <v>40</v>
      </c>
      <c r="BM289" s="334">
        <v>1</v>
      </c>
      <c r="BN289" s="334">
        <v>1.1399999999999999</v>
      </c>
      <c r="BO289" s="335">
        <v>1.26</v>
      </c>
      <c r="BP289" s="334">
        <v>1.34</v>
      </c>
      <c r="BQ289" s="334">
        <v>1.39</v>
      </c>
      <c r="BS289" s="333">
        <v>40</v>
      </c>
      <c r="BT289" s="334">
        <v>1</v>
      </c>
      <c r="BU289" s="334">
        <v>1.0900000000000001</v>
      </c>
      <c r="BV289" s="335">
        <v>1.1599999999999999</v>
      </c>
      <c r="BW289" s="334">
        <v>1.2</v>
      </c>
      <c r="BX289" s="334">
        <v>1.22</v>
      </c>
      <c r="BZ289" s="333">
        <v>40</v>
      </c>
      <c r="CA289" s="334">
        <v>1</v>
      </c>
      <c r="CB289" s="334">
        <v>1.05</v>
      </c>
      <c r="CC289" s="335">
        <v>1.07</v>
      </c>
      <c r="CD289" s="334">
        <v>1.07</v>
      </c>
      <c r="CE289" s="334">
        <v>1.05</v>
      </c>
      <c r="CG289" s="333">
        <v>40</v>
      </c>
      <c r="CH289" s="334">
        <v>1</v>
      </c>
      <c r="CI289" s="334">
        <v>1.02</v>
      </c>
      <c r="CJ289" s="335">
        <v>1.02</v>
      </c>
      <c r="CK289" s="334">
        <v>1</v>
      </c>
      <c r="CL289" s="334">
        <v>0.96</v>
      </c>
      <c r="CN289" s="333">
        <v>40</v>
      </c>
      <c r="CO289" s="334">
        <v>1</v>
      </c>
      <c r="CP289" s="334">
        <v>1</v>
      </c>
      <c r="CQ289" s="335">
        <v>0.99</v>
      </c>
      <c r="CR289" s="334">
        <v>0.95</v>
      </c>
      <c r="CS289" s="334">
        <v>0.9</v>
      </c>
    </row>
    <row r="290" spans="3:97" x14ac:dyDescent="0.25">
      <c r="C290" s="333">
        <v>150</v>
      </c>
      <c r="D290" s="334">
        <v>0.87</v>
      </c>
      <c r="E290" s="334">
        <v>0.82</v>
      </c>
      <c r="F290" s="334">
        <v>0.76</v>
      </c>
      <c r="G290" s="335">
        <v>0.68</v>
      </c>
      <c r="H290" s="334">
        <v>0.6</v>
      </c>
      <c r="I290" s="334">
        <v>0.52</v>
      </c>
      <c r="J290" s="334">
        <v>0.45</v>
      </c>
      <c r="K290" s="334">
        <v>0.4</v>
      </c>
      <c r="L290" s="334">
        <v>0.35</v>
      </c>
      <c r="M290" s="334">
        <v>0.32</v>
      </c>
      <c r="O290" s="333">
        <v>50</v>
      </c>
      <c r="P290" s="334">
        <v>1</v>
      </c>
      <c r="Q290" s="334">
        <v>1.01</v>
      </c>
      <c r="R290" s="335">
        <v>1</v>
      </c>
      <c r="S290" s="334">
        <v>0.97</v>
      </c>
      <c r="T290" s="334">
        <v>0.93</v>
      </c>
      <c r="V290" s="333">
        <v>50</v>
      </c>
      <c r="W290" s="334">
        <v>1</v>
      </c>
      <c r="X290" s="334">
        <v>1.03</v>
      </c>
      <c r="Y290" s="335">
        <v>1.04</v>
      </c>
      <c r="Z290" s="334">
        <v>1.03</v>
      </c>
      <c r="AA290" s="334">
        <v>1</v>
      </c>
      <c r="AC290" s="333">
        <v>50</v>
      </c>
      <c r="AD290" s="334">
        <v>1</v>
      </c>
      <c r="AE290" s="334">
        <v>1.06</v>
      </c>
      <c r="AF290" s="335">
        <v>1.1000000000000001</v>
      </c>
      <c r="AG290" s="334">
        <v>1.1100000000000001</v>
      </c>
      <c r="AH290" s="334">
        <v>1.1100000000000001</v>
      </c>
      <c r="AJ290" s="333">
        <v>50</v>
      </c>
      <c r="AK290" s="334">
        <v>1</v>
      </c>
      <c r="AL290" s="334">
        <v>1.1000000000000001</v>
      </c>
      <c r="AM290" s="335">
        <v>1.18</v>
      </c>
      <c r="AN290" s="334">
        <v>1.24</v>
      </c>
      <c r="AO290" s="334">
        <v>1.25</v>
      </c>
      <c r="AQ290" s="333">
        <v>50</v>
      </c>
      <c r="AR290" s="334">
        <v>1</v>
      </c>
      <c r="AS290" s="334">
        <v>1.1399999999999999</v>
      </c>
      <c r="AT290" s="335">
        <v>1.26</v>
      </c>
      <c r="AU290" s="334">
        <v>1.36</v>
      </c>
      <c r="AV290" s="334">
        <v>1.42</v>
      </c>
      <c r="AX290" s="333">
        <v>50</v>
      </c>
      <c r="AY290" s="334">
        <v>1</v>
      </c>
      <c r="AZ290" s="334">
        <v>1.1599999999999999</v>
      </c>
      <c r="BA290" s="335">
        <v>1.3</v>
      </c>
      <c r="BB290" s="334">
        <v>1.4</v>
      </c>
      <c r="BC290" s="334">
        <v>1.48</v>
      </c>
      <c r="BE290" s="333">
        <v>50</v>
      </c>
      <c r="BF290" s="334">
        <v>1</v>
      </c>
      <c r="BG290" s="334">
        <v>1.1499999999999999</v>
      </c>
      <c r="BH290" s="335">
        <v>1.29</v>
      </c>
      <c r="BI290" s="334">
        <v>1.38</v>
      </c>
      <c r="BJ290" s="334">
        <v>1.45</v>
      </c>
      <c r="BL290" s="333">
        <v>50</v>
      </c>
      <c r="BM290" s="334">
        <v>1</v>
      </c>
      <c r="BN290" s="334">
        <v>1.1200000000000001</v>
      </c>
      <c r="BO290" s="335">
        <v>1.21</v>
      </c>
      <c r="BP290" s="334">
        <v>1.29</v>
      </c>
      <c r="BQ290" s="334">
        <v>1.32</v>
      </c>
      <c r="BS290" s="333">
        <v>50</v>
      </c>
      <c r="BT290" s="334">
        <v>1</v>
      </c>
      <c r="BU290" s="334">
        <v>1.08</v>
      </c>
      <c r="BV290" s="335">
        <v>1.1399999999999999</v>
      </c>
      <c r="BW290" s="334">
        <v>1.17</v>
      </c>
      <c r="BX290" s="334">
        <v>1.17</v>
      </c>
      <c r="BZ290" s="333">
        <v>50</v>
      </c>
      <c r="CA290" s="334">
        <v>1</v>
      </c>
      <c r="CB290" s="334">
        <v>1.04</v>
      </c>
      <c r="CC290" s="335">
        <v>1.05</v>
      </c>
      <c r="CD290" s="334">
        <v>1.06</v>
      </c>
      <c r="CE290" s="334">
        <v>1.04</v>
      </c>
      <c r="CG290" s="333">
        <v>50</v>
      </c>
      <c r="CH290" s="334">
        <v>1</v>
      </c>
      <c r="CI290" s="334">
        <v>1.02</v>
      </c>
      <c r="CJ290" s="335">
        <v>1.02</v>
      </c>
      <c r="CK290" s="334">
        <v>1</v>
      </c>
      <c r="CL290" s="334">
        <v>0.96</v>
      </c>
      <c r="CN290" s="333">
        <v>50</v>
      </c>
      <c r="CO290" s="334">
        <v>1</v>
      </c>
      <c r="CP290" s="334">
        <v>1</v>
      </c>
      <c r="CQ290" s="335">
        <v>0.99</v>
      </c>
      <c r="CR290" s="334">
        <v>0.96</v>
      </c>
      <c r="CS290" s="334">
        <v>0.91</v>
      </c>
    </row>
    <row r="291" spans="3:97" x14ac:dyDescent="0.25">
      <c r="C291" s="333">
        <v>160</v>
      </c>
      <c r="D291" s="334">
        <v>0.87</v>
      </c>
      <c r="E291" s="334">
        <v>0.82</v>
      </c>
      <c r="F291" s="334">
        <v>0.75</v>
      </c>
      <c r="G291" s="335">
        <v>0.66</v>
      </c>
      <c r="H291" s="334">
        <v>0.56999999999999995</v>
      </c>
      <c r="I291" s="334">
        <v>0.5</v>
      </c>
      <c r="J291" s="334">
        <v>0.42</v>
      </c>
      <c r="K291" s="334">
        <v>0.36</v>
      </c>
      <c r="L291" s="334">
        <v>0.33</v>
      </c>
      <c r="M291" s="334">
        <v>0.28999999999999998</v>
      </c>
      <c r="O291" s="333">
        <v>60</v>
      </c>
      <c r="P291" s="334">
        <v>1</v>
      </c>
      <c r="Q291" s="334">
        <v>1.01</v>
      </c>
      <c r="R291" s="335">
        <v>1</v>
      </c>
      <c r="S291" s="334">
        <v>0.97</v>
      </c>
      <c r="T291" s="334">
        <v>0.93</v>
      </c>
      <c r="V291" s="333">
        <v>60</v>
      </c>
      <c r="W291" s="334">
        <v>1</v>
      </c>
      <c r="X291" s="334">
        <v>1.02</v>
      </c>
      <c r="Y291" s="335">
        <v>1.03</v>
      </c>
      <c r="Z291" s="334">
        <v>1.02</v>
      </c>
      <c r="AA291" s="334">
        <v>0.99</v>
      </c>
      <c r="AC291" s="333">
        <v>60</v>
      </c>
      <c r="AD291" s="334">
        <v>1</v>
      </c>
      <c r="AE291" s="334">
        <v>1.05</v>
      </c>
      <c r="AF291" s="335">
        <v>1.07</v>
      </c>
      <c r="AG291" s="334">
        <v>1.08</v>
      </c>
      <c r="AH291" s="334">
        <v>1.07</v>
      </c>
      <c r="AJ291" s="333">
        <v>60</v>
      </c>
      <c r="AK291" s="334">
        <v>1</v>
      </c>
      <c r="AL291" s="334">
        <v>1.08</v>
      </c>
      <c r="AM291" s="335">
        <v>1.1399999999999999</v>
      </c>
      <c r="AN291" s="334">
        <v>1.18</v>
      </c>
      <c r="AO291" s="334">
        <v>1.2</v>
      </c>
      <c r="AQ291" s="333">
        <v>60</v>
      </c>
      <c r="AR291" s="334">
        <v>1</v>
      </c>
      <c r="AS291" s="334">
        <v>1.1200000000000001</v>
      </c>
      <c r="AT291" s="335">
        <v>1.2</v>
      </c>
      <c r="AU291" s="334">
        <v>1.28</v>
      </c>
      <c r="AV291" s="334">
        <v>1.32</v>
      </c>
      <c r="AX291" s="333">
        <v>60</v>
      </c>
      <c r="AY291" s="334">
        <v>1</v>
      </c>
      <c r="AZ291" s="334">
        <v>1.1299999999999999</v>
      </c>
      <c r="BA291" s="335">
        <v>1.23</v>
      </c>
      <c r="BB291" s="334">
        <v>1.31</v>
      </c>
      <c r="BC291" s="334">
        <v>1.36</v>
      </c>
      <c r="BE291" s="333">
        <v>60</v>
      </c>
      <c r="BF291" s="334">
        <v>1</v>
      </c>
      <c r="BG291" s="334">
        <v>1.1200000000000001</v>
      </c>
      <c r="BH291" s="335">
        <v>1.22</v>
      </c>
      <c r="BI291" s="334">
        <v>1.3</v>
      </c>
      <c r="BJ291" s="334">
        <v>1.34</v>
      </c>
      <c r="BL291" s="333">
        <v>60</v>
      </c>
      <c r="BM291" s="334">
        <v>1</v>
      </c>
      <c r="BN291" s="334">
        <v>1.1000000000000001</v>
      </c>
      <c r="BO291" s="335">
        <v>1.17</v>
      </c>
      <c r="BP291" s="334">
        <v>1.22</v>
      </c>
      <c r="BQ291" s="334">
        <v>1.25</v>
      </c>
      <c r="BS291" s="333">
        <v>60</v>
      </c>
      <c r="BT291" s="334">
        <v>1</v>
      </c>
      <c r="BU291" s="334">
        <v>1.07</v>
      </c>
      <c r="BV291" s="335">
        <v>1.1100000000000001</v>
      </c>
      <c r="BW291" s="334">
        <v>1.1299999999999999</v>
      </c>
      <c r="BX291" s="334">
        <v>1.1299999999999999</v>
      </c>
      <c r="BZ291" s="333">
        <v>60</v>
      </c>
      <c r="CA291" s="334">
        <v>1</v>
      </c>
      <c r="CB291" s="334">
        <v>1.03</v>
      </c>
      <c r="CC291" s="335">
        <v>1.05</v>
      </c>
      <c r="CD291" s="334">
        <v>1.04</v>
      </c>
      <c r="CE291" s="334">
        <v>1.02</v>
      </c>
      <c r="CG291" s="333">
        <v>60</v>
      </c>
      <c r="CH291" s="334">
        <v>1</v>
      </c>
      <c r="CI291" s="334">
        <v>1.02</v>
      </c>
      <c r="CJ291" s="335">
        <v>1.01</v>
      </c>
      <c r="CK291" s="334">
        <v>0.99</v>
      </c>
      <c r="CL291" s="334">
        <v>0.96</v>
      </c>
      <c r="CN291" s="333">
        <v>60</v>
      </c>
      <c r="CO291" s="334">
        <v>1</v>
      </c>
      <c r="CP291" s="334">
        <v>1</v>
      </c>
      <c r="CQ291" s="335">
        <v>0.99</v>
      </c>
      <c r="CR291" s="334">
        <v>0.96</v>
      </c>
      <c r="CS291" s="334">
        <v>0.91</v>
      </c>
    </row>
    <row r="292" spans="3:97" x14ac:dyDescent="0.25">
      <c r="C292" s="333">
        <v>170</v>
      </c>
      <c r="D292" s="334">
        <v>0.87</v>
      </c>
      <c r="E292" s="334">
        <v>0.82</v>
      </c>
      <c r="F292" s="334">
        <v>0.74</v>
      </c>
      <c r="G292" s="335">
        <v>0.65</v>
      </c>
      <c r="H292" s="334">
        <v>0.56000000000000005</v>
      </c>
      <c r="I292" s="334">
        <v>0.48</v>
      </c>
      <c r="J292" s="334">
        <v>0.41</v>
      </c>
      <c r="K292" s="334">
        <v>0.35</v>
      </c>
      <c r="L292" s="334">
        <v>0.3</v>
      </c>
      <c r="M292" s="334">
        <v>0.28000000000000003</v>
      </c>
      <c r="O292" s="333">
        <v>70</v>
      </c>
      <c r="P292" s="334">
        <v>1</v>
      </c>
      <c r="Q292" s="334">
        <v>1.01</v>
      </c>
      <c r="R292" s="335">
        <v>1</v>
      </c>
      <c r="S292" s="334">
        <v>0.97</v>
      </c>
      <c r="T292" s="334">
        <v>0.93</v>
      </c>
      <c r="V292" s="333">
        <v>70</v>
      </c>
      <c r="W292" s="334">
        <v>1</v>
      </c>
      <c r="X292" s="334">
        <v>1.02</v>
      </c>
      <c r="Y292" s="335">
        <v>1.02</v>
      </c>
      <c r="Z292" s="334">
        <v>1</v>
      </c>
      <c r="AA292" s="334">
        <v>0.97</v>
      </c>
      <c r="AC292" s="333">
        <v>70</v>
      </c>
      <c r="AD292" s="334">
        <v>1</v>
      </c>
      <c r="AE292" s="334">
        <v>1.03</v>
      </c>
      <c r="AF292" s="335">
        <v>1.05</v>
      </c>
      <c r="AG292" s="334">
        <v>1.05</v>
      </c>
      <c r="AH292" s="334">
        <v>1.04</v>
      </c>
      <c r="AJ292" s="333">
        <v>70</v>
      </c>
      <c r="AK292" s="334">
        <v>1</v>
      </c>
      <c r="AL292" s="334">
        <v>1.06</v>
      </c>
      <c r="AM292" s="335">
        <v>1.1000000000000001</v>
      </c>
      <c r="AN292" s="334">
        <v>1.1200000000000001</v>
      </c>
      <c r="AO292" s="334">
        <v>1.1299999999999999</v>
      </c>
      <c r="AQ292" s="333">
        <v>70</v>
      </c>
      <c r="AR292" s="334">
        <v>1</v>
      </c>
      <c r="AS292" s="334">
        <v>1.08</v>
      </c>
      <c r="AT292" s="335">
        <v>1.1399999999999999</v>
      </c>
      <c r="AU292" s="334">
        <v>1.19</v>
      </c>
      <c r="AV292" s="334">
        <v>1.21</v>
      </c>
      <c r="AX292" s="333">
        <v>70</v>
      </c>
      <c r="AY292" s="334">
        <v>1</v>
      </c>
      <c r="AZ292" s="334">
        <v>1.0900000000000001</v>
      </c>
      <c r="BA292" s="335">
        <v>1.1599999999999999</v>
      </c>
      <c r="BB292" s="334">
        <v>1.21</v>
      </c>
      <c r="BC292" s="334">
        <v>1.24</v>
      </c>
      <c r="BE292" s="333">
        <v>70</v>
      </c>
      <c r="BF292" s="334">
        <v>1</v>
      </c>
      <c r="BG292" s="334">
        <v>1.0900000000000001</v>
      </c>
      <c r="BH292" s="335">
        <v>1.1499999999999999</v>
      </c>
      <c r="BI292" s="334">
        <v>1.2</v>
      </c>
      <c r="BJ292" s="334">
        <v>1.23</v>
      </c>
      <c r="BL292" s="333">
        <v>70</v>
      </c>
      <c r="BM292" s="334">
        <v>1</v>
      </c>
      <c r="BN292" s="334">
        <v>1.07</v>
      </c>
      <c r="BO292" s="335">
        <v>1.1200000000000001</v>
      </c>
      <c r="BP292" s="334">
        <v>1.1499999999999999</v>
      </c>
      <c r="BQ292" s="334">
        <v>1.1599999999999999</v>
      </c>
      <c r="BS292" s="333">
        <v>70</v>
      </c>
      <c r="BT292" s="334">
        <v>1</v>
      </c>
      <c r="BU292" s="334">
        <v>1.04</v>
      </c>
      <c r="BV292" s="335">
        <v>1.08</v>
      </c>
      <c r="BW292" s="334">
        <v>1.0900000000000001</v>
      </c>
      <c r="BX292" s="334">
        <v>1.08</v>
      </c>
      <c r="BZ292" s="333">
        <v>70</v>
      </c>
      <c r="CA292" s="334">
        <v>1</v>
      </c>
      <c r="CB292" s="334">
        <v>1.02</v>
      </c>
      <c r="CC292" s="335">
        <v>1.03</v>
      </c>
      <c r="CD292" s="334">
        <v>1.02</v>
      </c>
      <c r="CE292" s="334">
        <v>1</v>
      </c>
      <c r="CG292" s="333">
        <v>70</v>
      </c>
      <c r="CH292" s="334">
        <v>1</v>
      </c>
      <c r="CI292" s="334">
        <v>1.01</v>
      </c>
      <c r="CJ292" s="335">
        <v>1</v>
      </c>
      <c r="CK292" s="334">
        <v>0.98</v>
      </c>
      <c r="CL292" s="334">
        <v>0.95</v>
      </c>
      <c r="CN292" s="333">
        <v>70</v>
      </c>
      <c r="CO292" s="334">
        <v>1</v>
      </c>
      <c r="CP292" s="334">
        <v>1</v>
      </c>
      <c r="CQ292" s="335">
        <v>0.99</v>
      </c>
      <c r="CR292" s="334">
        <v>0.96</v>
      </c>
      <c r="CS292" s="334">
        <v>0.91</v>
      </c>
    </row>
    <row r="293" spans="3:97" x14ac:dyDescent="0.25">
      <c r="C293" s="333">
        <v>180</v>
      </c>
      <c r="D293" s="334">
        <v>0.87</v>
      </c>
      <c r="E293" s="334">
        <v>0.81</v>
      </c>
      <c r="F293" s="334">
        <v>0.74</v>
      </c>
      <c r="G293" s="335">
        <v>0.65</v>
      </c>
      <c r="H293" s="334">
        <v>0.56000000000000005</v>
      </c>
      <c r="I293" s="334">
        <v>0.48</v>
      </c>
      <c r="J293" s="334">
        <v>0.4</v>
      </c>
      <c r="K293" s="334">
        <v>0.34</v>
      </c>
      <c r="L293" s="334">
        <v>0.3</v>
      </c>
      <c r="M293" s="334">
        <v>0.27</v>
      </c>
      <c r="O293" s="333">
        <v>80</v>
      </c>
      <c r="P293" s="334">
        <v>1</v>
      </c>
      <c r="Q293" s="334">
        <v>1</v>
      </c>
      <c r="R293" s="335">
        <v>0.99</v>
      </c>
      <c r="S293" s="334">
        <v>0.96</v>
      </c>
      <c r="T293" s="334">
        <v>0.92</v>
      </c>
      <c r="V293" s="333">
        <v>80</v>
      </c>
      <c r="W293" s="334">
        <v>1</v>
      </c>
      <c r="X293" s="334">
        <v>1.01</v>
      </c>
      <c r="Y293" s="335">
        <v>1</v>
      </c>
      <c r="Z293" s="334">
        <v>0.99</v>
      </c>
      <c r="AA293" s="334">
        <v>0.95</v>
      </c>
      <c r="AC293" s="333">
        <v>80</v>
      </c>
      <c r="AD293" s="334">
        <v>1</v>
      </c>
      <c r="AE293" s="334">
        <v>1.02</v>
      </c>
      <c r="AF293" s="335">
        <v>1.02</v>
      </c>
      <c r="AG293" s="334">
        <v>1.01</v>
      </c>
      <c r="AH293" s="334">
        <v>0.99</v>
      </c>
      <c r="AJ293" s="333">
        <v>80</v>
      </c>
      <c r="AK293" s="334">
        <v>1</v>
      </c>
      <c r="AL293" s="334">
        <v>1.03</v>
      </c>
      <c r="AM293" s="335">
        <v>1.05</v>
      </c>
      <c r="AN293" s="334">
        <v>1.06</v>
      </c>
      <c r="AO293" s="334">
        <v>1.05</v>
      </c>
      <c r="AQ293" s="333">
        <v>80</v>
      </c>
      <c r="AR293" s="334">
        <v>1</v>
      </c>
      <c r="AS293" s="334">
        <v>1.04</v>
      </c>
      <c r="AT293" s="335">
        <v>1.08</v>
      </c>
      <c r="AU293" s="334">
        <v>1.1000000000000001</v>
      </c>
      <c r="AV293" s="334">
        <v>1.1000000000000001</v>
      </c>
      <c r="AX293" s="333">
        <v>80</v>
      </c>
      <c r="AY293" s="334">
        <v>1</v>
      </c>
      <c r="AZ293" s="334">
        <v>1.05</v>
      </c>
      <c r="BA293" s="335">
        <v>1.0900000000000001</v>
      </c>
      <c r="BB293" s="334">
        <v>1.1100000000000001</v>
      </c>
      <c r="BC293" s="334">
        <v>1.1299999999999999</v>
      </c>
      <c r="BE293" s="333">
        <v>80</v>
      </c>
      <c r="BF293" s="334">
        <v>1</v>
      </c>
      <c r="BG293" s="334">
        <v>1.05</v>
      </c>
      <c r="BH293" s="335">
        <v>1.08</v>
      </c>
      <c r="BI293" s="334">
        <v>1.1000000000000001</v>
      </c>
      <c r="BJ293" s="334">
        <v>1.1000000000000001</v>
      </c>
      <c r="BL293" s="333">
        <v>80</v>
      </c>
      <c r="BM293" s="334">
        <v>1</v>
      </c>
      <c r="BN293" s="334">
        <v>1.04</v>
      </c>
      <c r="BO293" s="335">
        <v>1.07</v>
      </c>
      <c r="BP293" s="334">
        <v>1.08</v>
      </c>
      <c r="BQ293" s="334">
        <v>1.07</v>
      </c>
      <c r="BS293" s="333">
        <v>80</v>
      </c>
      <c r="BT293" s="334">
        <v>1</v>
      </c>
      <c r="BU293" s="334">
        <v>1.03</v>
      </c>
      <c r="BV293" s="335">
        <v>1.04</v>
      </c>
      <c r="BW293" s="334">
        <v>1.04</v>
      </c>
      <c r="BX293" s="334">
        <v>1.02</v>
      </c>
      <c r="BZ293" s="333">
        <v>80</v>
      </c>
      <c r="CA293" s="334">
        <v>1</v>
      </c>
      <c r="CB293" s="334">
        <v>1.01</v>
      </c>
      <c r="CC293" s="335">
        <v>1.01</v>
      </c>
      <c r="CD293" s="334">
        <v>1</v>
      </c>
      <c r="CE293" s="334">
        <v>0.97</v>
      </c>
      <c r="CG293" s="333">
        <v>80</v>
      </c>
      <c r="CH293" s="334">
        <v>1</v>
      </c>
      <c r="CI293" s="334">
        <v>1.01</v>
      </c>
      <c r="CJ293" s="335">
        <v>1</v>
      </c>
      <c r="CK293" s="334">
        <v>0.98</v>
      </c>
      <c r="CL293" s="334">
        <v>0.94</v>
      </c>
      <c r="CN293" s="333">
        <v>80</v>
      </c>
      <c r="CO293" s="334">
        <v>1</v>
      </c>
      <c r="CP293" s="334">
        <v>1</v>
      </c>
      <c r="CQ293" s="335">
        <v>0.99</v>
      </c>
      <c r="CR293" s="334">
        <v>0.96</v>
      </c>
      <c r="CS293" s="334">
        <v>0.91</v>
      </c>
    </row>
    <row r="294" spans="3:97" x14ac:dyDescent="0.25">
      <c r="C294" s="333">
        <v>190</v>
      </c>
      <c r="D294" s="334">
        <v>0.87</v>
      </c>
      <c r="E294" s="334">
        <v>0.81</v>
      </c>
      <c r="F294" s="334">
        <v>0.74</v>
      </c>
      <c r="G294" s="335">
        <v>0.65</v>
      </c>
      <c r="H294" s="334">
        <v>0.56000000000000005</v>
      </c>
      <c r="I294" s="334">
        <v>0.48</v>
      </c>
      <c r="J294" s="334">
        <v>0.41</v>
      </c>
      <c r="K294" s="334">
        <v>0.35</v>
      </c>
      <c r="L294" s="334">
        <v>0.3</v>
      </c>
      <c r="M294" s="334">
        <v>0.28000000000000003</v>
      </c>
      <c r="O294" s="333">
        <v>90</v>
      </c>
      <c r="P294" s="334">
        <v>1</v>
      </c>
      <c r="Q294" s="334">
        <v>1</v>
      </c>
      <c r="R294" s="335">
        <v>0.99</v>
      </c>
      <c r="S294" s="334">
        <v>0.96</v>
      </c>
      <c r="T294" s="334">
        <v>0.91</v>
      </c>
      <c r="V294" s="333">
        <v>90</v>
      </c>
      <c r="W294" s="334">
        <v>1</v>
      </c>
      <c r="X294" s="334">
        <v>1</v>
      </c>
      <c r="Y294" s="335">
        <v>0.99</v>
      </c>
      <c r="Z294" s="334">
        <v>0.97</v>
      </c>
      <c r="AA294" s="334">
        <v>0.93</v>
      </c>
      <c r="AC294" s="333">
        <v>90</v>
      </c>
      <c r="AD294" s="334">
        <v>1</v>
      </c>
      <c r="AE294" s="334">
        <v>1</v>
      </c>
      <c r="AF294" s="335">
        <v>0.99</v>
      </c>
      <c r="AG294" s="334">
        <v>0.97</v>
      </c>
      <c r="AH294" s="334">
        <v>0.94</v>
      </c>
      <c r="AJ294" s="333">
        <v>90</v>
      </c>
      <c r="AK294" s="334">
        <v>1</v>
      </c>
      <c r="AL294" s="334">
        <v>1.01</v>
      </c>
      <c r="AM294" s="335">
        <v>1.01</v>
      </c>
      <c r="AN294" s="334">
        <v>0.99</v>
      </c>
      <c r="AO294" s="334">
        <v>0.98</v>
      </c>
      <c r="AQ294" s="333">
        <v>90</v>
      </c>
      <c r="AR294" s="334">
        <v>1</v>
      </c>
      <c r="AS294" s="334">
        <v>1.01</v>
      </c>
      <c r="AT294" s="335">
        <v>1.01</v>
      </c>
      <c r="AU294" s="334">
        <v>1</v>
      </c>
      <c r="AV294" s="334">
        <v>0.99</v>
      </c>
      <c r="AX294" s="333">
        <v>90</v>
      </c>
      <c r="AY294" s="334">
        <v>1</v>
      </c>
      <c r="AZ294" s="334">
        <v>1.01</v>
      </c>
      <c r="BA294" s="335">
        <v>1.01</v>
      </c>
      <c r="BB294" s="334">
        <v>1.01</v>
      </c>
      <c r="BC294" s="334">
        <v>1</v>
      </c>
      <c r="BE294" s="333">
        <v>90</v>
      </c>
      <c r="BF294" s="334">
        <v>1</v>
      </c>
      <c r="BG294" s="334">
        <v>1.01</v>
      </c>
      <c r="BH294" s="335">
        <v>1.01</v>
      </c>
      <c r="BI294" s="334">
        <v>1</v>
      </c>
      <c r="BJ294" s="334">
        <v>0.99</v>
      </c>
      <c r="BL294" s="333">
        <v>90</v>
      </c>
      <c r="BM294" s="334">
        <v>1</v>
      </c>
      <c r="BN294" s="334">
        <v>1.01</v>
      </c>
      <c r="BO294" s="335">
        <v>1.01</v>
      </c>
      <c r="BP294" s="334">
        <v>1</v>
      </c>
      <c r="BQ294" s="334">
        <v>0.99</v>
      </c>
      <c r="BS294" s="333">
        <v>90</v>
      </c>
      <c r="BT294" s="334">
        <v>1</v>
      </c>
      <c r="BU294" s="334">
        <v>1.01</v>
      </c>
      <c r="BV294" s="335">
        <v>1.01</v>
      </c>
      <c r="BW294" s="334">
        <v>0.99</v>
      </c>
      <c r="BX294" s="334">
        <v>0.96</v>
      </c>
      <c r="BZ294" s="333">
        <v>90</v>
      </c>
      <c r="CA294" s="334">
        <v>1</v>
      </c>
      <c r="CB294" s="334">
        <v>1</v>
      </c>
      <c r="CC294" s="335">
        <v>0.99</v>
      </c>
      <c r="CD294" s="334">
        <v>0.97</v>
      </c>
      <c r="CE294" s="334">
        <v>0.93</v>
      </c>
      <c r="CG294" s="333">
        <v>90</v>
      </c>
      <c r="CH294" s="334">
        <v>1</v>
      </c>
      <c r="CI294" s="334">
        <v>1</v>
      </c>
      <c r="CJ294" s="335">
        <v>0.99</v>
      </c>
      <c r="CK294" s="334">
        <v>0.96</v>
      </c>
      <c r="CL294" s="334">
        <v>0.93</v>
      </c>
      <c r="CN294" s="333">
        <v>90</v>
      </c>
      <c r="CO294" s="334">
        <v>1</v>
      </c>
      <c r="CP294" s="334">
        <v>1</v>
      </c>
      <c r="CQ294" s="335">
        <v>0.98</v>
      </c>
      <c r="CR294" s="334">
        <v>0.95</v>
      </c>
      <c r="CS294" s="334">
        <v>0.91</v>
      </c>
    </row>
    <row r="295" spans="3:97" x14ac:dyDescent="0.25">
      <c r="C295" s="333">
        <v>200</v>
      </c>
      <c r="D295" s="334">
        <v>0.87</v>
      </c>
      <c r="E295" s="334">
        <v>0.82</v>
      </c>
      <c r="F295" s="334">
        <v>0.74</v>
      </c>
      <c r="G295" s="335">
        <v>0.66</v>
      </c>
      <c r="H295" s="334">
        <v>0.56999999999999995</v>
      </c>
      <c r="I295" s="334">
        <v>0.5</v>
      </c>
      <c r="J295" s="334">
        <v>0.42</v>
      </c>
      <c r="K295" s="334">
        <v>0.36</v>
      </c>
      <c r="L295" s="334">
        <v>0.32</v>
      </c>
      <c r="M295" s="334">
        <v>0.28999999999999998</v>
      </c>
      <c r="P295" s="288"/>
      <c r="Q295" s="288"/>
      <c r="R295" s="288"/>
      <c r="S295" s="288"/>
      <c r="T295" s="288"/>
      <c r="W295" s="288"/>
      <c r="X295" s="288"/>
      <c r="Y295" s="288"/>
      <c r="Z295" s="288"/>
      <c r="AA295" s="288"/>
      <c r="AD295" s="288"/>
      <c r="AE295" s="288"/>
      <c r="AF295" s="288"/>
      <c r="AG295" s="288"/>
      <c r="AH295" s="288"/>
      <c r="AK295" s="288"/>
      <c r="AL295" s="288"/>
      <c r="AM295" s="288"/>
      <c r="AN295" s="288"/>
      <c r="AO295" s="288"/>
      <c r="AR295" s="288"/>
      <c r="AS295" s="288"/>
      <c r="AT295" s="288"/>
      <c r="AU295" s="288"/>
      <c r="AV295" s="288"/>
      <c r="AY295" s="288"/>
      <c r="AZ295" s="288"/>
      <c r="BA295" s="288"/>
      <c r="BB295" s="288"/>
      <c r="BC295" s="288"/>
      <c r="BF295" s="288"/>
      <c r="BG295" s="288"/>
      <c r="BH295" s="288"/>
      <c r="BI295" s="288"/>
      <c r="BJ295" s="288"/>
      <c r="BM295" s="288"/>
      <c r="BN295" s="288"/>
      <c r="BO295" s="288"/>
      <c r="BP295" s="288"/>
      <c r="BQ295" s="288"/>
      <c r="BT295" s="288"/>
      <c r="BU295" s="288"/>
      <c r="BV295" s="288"/>
      <c r="BW295" s="288"/>
      <c r="BX295" s="288"/>
      <c r="CA295" s="288"/>
      <c r="CB295" s="288"/>
      <c r="CC295" s="288"/>
      <c r="CD295" s="288"/>
      <c r="CE295" s="288"/>
      <c r="CH295" s="288"/>
      <c r="CI295" s="288"/>
      <c r="CJ295" s="288"/>
      <c r="CK295" s="288"/>
      <c r="CL295" s="288"/>
      <c r="CO295" s="288"/>
      <c r="CP295" s="288"/>
      <c r="CQ295" s="288"/>
      <c r="CR295" s="288"/>
      <c r="CS295" s="288"/>
    </row>
    <row r="296" spans="3:97" x14ac:dyDescent="0.25">
      <c r="C296" s="333">
        <v>210</v>
      </c>
      <c r="D296" s="334">
        <v>0.87</v>
      </c>
      <c r="E296" s="334">
        <v>0.82</v>
      </c>
      <c r="F296" s="334">
        <v>0.75</v>
      </c>
      <c r="G296" s="335">
        <v>0.67</v>
      </c>
      <c r="H296" s="334">
        <v>0.59</v>
      </c>
      <c r="I296" s="334">
        <v>0.52</v>
      </c>
      <c r="J296" s="334">
        <v>0.45</v>
      </c>
      <c r="K296" s="334">
        <v>0.4</v>
      </c>
      <c r="L296" s="334">
        <v>0.35</v>
      </c>
      <c r="M296" s="334">
        <v>0.32</v>
      </c>
      <c r="P296" s="288"/>
      <c r="Q296" s="288"/>
      <c r="R296" s="288"/>
      <c r="S296" s="288"/>
      <c r="T296" s="288"/>
      <c r="W296" s="288"/>
      <c r="X296" s="288"/>
      <c r="Y296" s="288"/>
      <c r="Z296" s="288"/>
      <c r="AA296" s="288"/>
      <c r="AD296" s="288"/>
      <c r="AE296" s="288"/>
      <c r="AF296" s="288"/>
      <c r="AG296" s="288"/>
      <c r="AH296" s="288"/>
      <c r="AK296" s="288"/>
      <c r="AL296" s="288"/>
      <c r="AM296" s="288"/>
      <c r="AN296" s="288"/>
      <c r="AO296" s="288"/>
      <c r="AR296" s="288"/>
      <c r="AS296" s="288"/>
      <c r="AT296" s="288"/>
      <c r="AU296" s="288"/>
      <c r="AV296" s="288"/>
      <c r="AY296" s="288"/>
      <c r="AZ296" s="288"/>
      <c r="BA296" s="288"/>
      <c r="BB296" s="288"/>
      <c r="BC296" s="288"/>
      <c r="BF296" s="288"/>
      <c r="BG296" s="288"/>
      <c r="BH296" s="288"/>
      <c r="BI296" s="288"/>
      <c r="BJ296" s="288"/>
      <c r="BM296" s="288"/>
      <c r="BN296" s="288"/>
      <c r="BO296" s="288"/>
      <c r="BP296" s="288"/>
      <c r="BQ296" s="288"/>
      <c r="BT296" s="288"/>
      <c r="BU296" s="288"/>
      <c r="BV296" s="288"/>
      <c r="BW296" s="288"/>
      <c r="BX296" s="288"/>
      <c r="CA296" s="288"/>
      <c r="CB296" s="288"/>
      <c r="CC296" s="288"/>
      <c r="CD296" s="288"/>
      <c r="CE296" s="288"/>
      <c r="CH296" s="288"/>
      <c r="CI296" s="288"/>
      <c r="CJ296" s="288"/>
      <c r="CK296" s="288"/>
      <c r="CL296" s="288"/>
      <c r="CO296" s="288"/>
      <c r="CP296" s="288"/>
      <c r="CQ296" s="288"/>
      <c r="CR296" s="288"/>
      <c r="CS296" s="288"/>
    </row>
    <row r="297" spans="3:97" x14ac:dyDescent="0.25">
      <c r="C297" s="333">
        <v>220</v>
      </c>
      <c r="D297" s="334">
        <v>0.87</v>
      </c>
      <c r="E297" s="334">
        <v>0.83</v>
      </c>
      <c r="F297" s="334">
        <v>0.77</v>
      </c>
      <c r="G297" s="335">
        <v>0.69</v>
      </c>
      <c r="H297" s="334">
        <v>0.62</v>
      </c>
      <c r="I297" s="334">
        <v>0.55000000000000004</v>
      </c>
      <c r="J297" s="334">
        <v>0.49</v>
      </c>
      <c r="K297" s="334">
        <v>0.43</v>
      </c>
      <c r="L297" s="334">
        <v>0.39</v>
      </c>
      <c r="M297" s="334">
        <v>0.35</v>
      </c>
      <c r="P297" s="288"/>
      <c r="Q297" s="288"/>
      <c r="R297" s="288"/>
      <c r="S297" s="288"/>
      <c r="T297" s="288"/>
      <c r="W297" s="288"/>
      <c r="X297" s="288"/>
      <c r="Y297" s="288"/>
      <c r="Z297" s="288"/>
      <c r="AA297" s="288"/>
      <c r="AD297" s="288"/>
      <c r="AE297" s="288"/>
      <c r="AF297" s="288"/>
      <c r="AG297" s="288"/>
      <c r="AH297" s="288"/>
      <c r="AK297" s="288"/>
      <c r="AL297" s="288"/>
      <c r="AM297" s="288"/>
      <c r="AN297" s="288"/>
      <c r="AO297" s="288"/>
      <c r="AR297" s="288"/>
      <c r="AS297" s="288"/>
      <c r="AT297" s="288"/>
      <c r="AU297" s="288"/>
      <c r="AV297" s="288"/>
      <c r="AY297" s="288"/>
      <c r="AZ297" s="288"/>
      <c r="BA297" s="288"/>
      <c r="BB297" s="288"/>
      <c r="BC297" s="288"/>
      <c r="BF297" s="288"/>
      <c r="BG297" s="288"/>
      <c r="BH297" s="288"/>
      <c r="BI297" s="288"/>
      <c r="BJ297" s="288"/>
      <c r="BM297" s="288"/>
      <c r="BN297" s="288"/>
      <c r="BO297" s="288"/>
      <c r="BP297" s="288"/>
      <c r="BQ297" s="288"/>
      <c r="BT297" s="288"/>
      <c r="BU297" s="288"/>
      <c r="BV297" s="288"/>
      <c r="BW297" s="288"/>
      <c r="BX297" s="288"/>
      <c r="CA297" s="288"/>
      <c r="CB297" s="288"/>
      <c r="CC297" s="288"/>
      <c r="CD297" s="288"/>
      <c r="CE297" s="288"/>
      <c r="CH297" s="288"/>
      <c r="CI297" s="288"/>
      <c r="CJ297" s="288"/>
      <c r="CK297" s="288"/>
      <c r="CL297" s="288"/>
      <c r="CO297" s="288"/>
      <c r="CP297" s="288"/>
      <c r="CQ297" s="288"/>
      <c r="CR297" s="288"/>
      <c r="CS297" s="288"/>
    </row>
    <row r="298" spans="3:97" x14ac:dyDescent="0.25">
      <c r="C298" s="333">
        <v>230</v>
      </c>
      <c r="D298" s="334">
        <v>0.87</v>
      </c>
      <c r="E298" s="334">
        <v>0.84</v>
      </c>
      <c r="F298" s="334">
        <v>0.78</v>
      </c>
      <c r="G298" s="335">
        <v>0.72</v>
      </c>
      <c r="H298" s="334">
        <v>0.65</v>
      </c>
      <c r="I298" s="334">
        <v>0.59</v>
      </c>
      <c r="J298" s="334">
        <v>0.53</v>
      </c>
      <c r="K298" s="334">
        <v>0.48</v>
      </c>
      <c r="L298" s="334">
        <v>0.43</v>
      </c>
      <c r="M298" s="334">
        <v>0.38</v>
      </c>
      <c r="P298" s="288"/>
      <c r="Q298" s="288"/>
      <c r="R298" s="288"/>
      <c r="S298" s="288"/>
      <c r="T298" s="288"/>
      <c r="W298" s="288"/>
      <c r="X298" s="288"/>
      <c r="Y298" s="288"/>
      <c r="Z298" s="288"/>
      <c r="AA298" s="288"/>
      <c r="AD298" s="288"/>
      <c r="AE298" s="288"/>
      <c r="AF298" s="288"/>
      <c r="AG298" s="288"/>
      <c r="AH298" s="288"/>
      <c r="AK298" s="288"/>
      <c r="AL298" s="288"/>
      <c r="AM298" s="288"/>
      <c r="AN298" s="288"/>
      <c r="AO298" s="288"/>
      <c r="AR298" s="288"/>
      <c r="AS298" s="288"/>
      <c r="AT298" s="288"/>
      <c r="AU298" s="288"/>
      <c r="AV298" s="288"/>
      <c r="AY298" s="288"/>
      <c r="AZ298" s="288"/>
      <c r="BA298" s="288"/>
      <c r="BB298" s="288"/>
      <c r="BC298" s="288"/>
      <c r="BF298" s="288"/>
      <c r="BG298" s="288"/>
      <c r="BH298" s="288"/>
      <c r="BI298" s="288"/>
      <c r="BJ298" s="288"/>
      <c r="BM298" s="288"/>
      <c r="BN298" s="288"/>
      <c r="BO298" s="288"/>
      <c r="BP298" s="288"/>
      <c r="BQ298" s="288"/>
      <c r="BT298" s="288"/>
      <c r="BU298" s="288"/>
      <c r="BV298" s="288"/>
      <c r="BW298" s="288"/>
      <c r="BX298" s="288"/>
      <c r="CA298" s="288"/>
      <c r="CB298" s="288"/>
      <c r="CC298" s="288"/>
      <c r="CD298" s="288"/>
      <c r="CE298" s="288"/>
      <c r="CH298" s="288"/>
      <c r="CI298" s="288"/>
      <c r="CJ298" s="288"/>
      <c r="CK298" s="288"/>
      <c r="CL298" s="288"/>
      <c r="CO298" s="288"/>
      <c r="CP298" s="288"/>
      <c r="CQ298" s="288"/>
      <c r="CR298" s="288"/>
      <c r="CS298" s="288"/>
    </row>
    <row r="299" spans="3:97" x14ac:dyDescent="0.25">
      <c r="C299" s="333">
        <v>240</v>
      </c>
      <c r="D299" s="334">
        <v>0.87</v>
      </c>
      <c r="E299" s="334">
        <v>0.84</v>
      </c>
      <c r="F299" s="334">
        <v>0.8</v>
      </c>
      <c r="G299" s="335">
        <v>0.74</v>
      </c>
      <c r="H299" s="334">
        <v>0.68</v>
      </c>
      <c r="I299" s="334">
        <v>0.63</v>
      </c>
      <c r="J299" s="334">
        <v>0.56999999999999995</v>
      </c>
      <c r="K299" s="334">
        <v>0.52</v>
      </c>
      <c r="L299" s="334">
        <v>0.47</v>
      </c>
      <c r="M299" s="334">
        <v>0.41</v>
      </c>
      <c r="P299" s="288"/>
      <c r="Q299" s="288"/>
      <c r="R299" s="288"/>
      <c r="S299" s="288"/>
      <c r="T299" s="288"/>
      <c r="W299" s="288"/>
      <c r="X299" s="288"/>
      <c r="Y299" s="288"/>
      <c r="Z299" s="288"/>
      <c r="AA299" s="288"/>
      <c r="AD299" s="288"/>
      <c r="AE299" s="288"/>
      <c r="AF299" s="288"/>
      <c r="AG299" s="288"/>
      <c r="AH299" s="288"/>
      <c r="AK299" s="288"/>
      <c r="AL299" s="288"/>
      <c r="AM299" s="288"/>
      <c r="AN299" s="288"/>
      <c r="AO299" s="288"/>
      <c r="AR299" s="288"/>
      <c r="AS299" s="288"/>
      <c r="AT299" s="288"/>
      <c r="AU299" s="288"/>
      <c r="AV299" s="288"/>
      <c r="AY299" s="288"/>
      <c r="AZ299" s="288"/>
      <c r="BA299" s="288"/>
      <c r="BB299" s="288"/>
      <c r="BC299" s="288"/>
      <c r="BF299" s="288"/>
      <c r="BG299" s="288"/>
      <c r="BH299" s="288"/>
      <c r="BI299" s="288"/>
      <c r="BJ299" s="288"/>
      <c r="BM299" s="288"/>
      <c r="BN299" s="288"/>
      <c r="BO299" s="288"/>
      <c r="BP299" s="288"/>
      <c r="BQ299" s="288"/>
      <c r="BT299" s="288"/>
      <c r="BU299" s="288"/>
      <c r="BV299" s="288"/>
      <c r="BW299" s="288"/>
      <c r="BX299" s="288"/>
      <c r="CA299" s="288"/>
      <c r="CB299" s="288"/>
      <c r="CC299" s="288"/>
      <c r="CD299" s="288"/>
      <c r="CE299" s="288"/>
      <c r="CH299" s="288"/>
      <c r="CI299" s="288"/>
      <c r="CJ299" s="288"/>
      <c r="CK299" s="288"/>
      <c r="CL299" s="288"/>
      <c r="CO299" s="288"/>
      <c r="CP299" s="288"/>
      <c r="CQ299" s="288"/>
      <c r="CR299" s="288"/>
      <c r="CS299" s="288"/>
    </row>
    <row r="300" spans="3:97" x14ac:dyDescent="0.25">
      <c r="C300" s="333">
        <v>250</v>
      </c>
      <c r="D300" s="334">
        <v>0.87</v>
      </c>
      <c r="E300" s="334">
        <v>0.85</v>
      </c>
      <c r="F300" s="334">
        <v>0.82</v>
      </c>
      <c r="G300" s="335">
        <v>0.77</v>
      </c>
      <c r="H300" s="334">
        <v>0.72</v>
      </c>
      <c r="I300" s="334">
        <v>0.67</v>
      </c>
      <c r="J300" s="334">
        <v>0.62</v>
      </c>
      <c r="K300" s="334">
        <v>0.56000000000000005</v>
      </c>
      <c r="L300" s="334">
        <v>0.51</v>
      </c>
      <c r="M300" s="334">
        <v>0.45</v>
      </c>
      <c r="P300" s="288"/>
      <c r="Q300" s="288"/>
      <c r="R300" s="288"/>
      <c r="S300" s="288"/>
      <c r="T300" s="288"/>
      <c r="W300" s="288"/>
      <c r="X300" s="288"/>
      <c r="Y300" s="288"/>
      <c r="Z300" s="288"/>
      <c r="AA300" s="288"/>
      <c r="AD300" s="288"/>
      <c r="AE300" s="288"/>
      <c r="AF300" s="288"/>
      <c r="AG300" s="288"/>
      <c r="AH300" s="288"/>
      <c r="AK300" s="288"/>
      <c r="AL300" s="288"/>
      <c r="AM300" s="288"/>
      <c r="AN300" s="288"/>
      <c r="AO300" s="288"/>
      <c r="AR300" s="288"/>
      <c r="AS300" s="288"/>
      <c r="AT300" s="288"/>
      <c r="AU300" s="288"/>
      <c r="AV300" s="288"/>
      <c r="AY300" s="288"/>
      <c r="AZ300" s="288"/>
      <c r="BA300" s="288"/>
      <c r="BB300" s="288"/>
      <c r="BC300" s="288"/>
      <c r="BF300" s="288"/>
      <c r="BG300" s="288"/>
      <c r="BH300" s="288"/>
      <c r="BI300" s="288"/>
      <c r="BJ300" s="288"/>
      <c r="BM300" s="288"/>
      <c r="BN300" s="288"/>
      <c r="BO300" s="288"/>
      <c r="BP300" s="288"/>
      <c r="BQ300" s="288"/>
      <c r="BT300" s="288"/>
      <c r="BU300" s="288"/>
      <c r="BV300" s="288"/>
      <c r="BW300" s="288"/>
      <c r="BX300" s="288"/>
      <c r="CA300" s="288"/>
      <c r="CB300" s="288"/>
      <c r="CC300" s="288"/>
      <c r="CD300" s="288"/>
      <c r="CE300" s="288"/>
      <c r="CH300" s="288"/>
      <c r="CI300" s="288"/>
      <c r="CJ300" s="288"/>
      <c r="CK300" s="288"/>
      <c r="CL300" s="288"/>
      <c r="CO300" s="288"/>
      <c r="CP300" s="288"/>
      <c r="CQ300" s="288"/>
      <c r="CR300" s="288"/>
      <c r="CS300" s="288"/>
    </row>
    <row r="301" spans="3:97" x14ac:dyDescent="0.25">
      <c r="C301" s="333">
        <v>260</v>
      </c>
      <c r="D301" s="334">
        <v>0.87</v>
      </c>
      <c r="E301" s="334">
        <v>0.86</v>
      </c>
      <c r="F301" s="334">
        <v>0.84</v>
      </c>
      <c r="G301" s="335">
        <v>0.8</v>
      </c>
      <c r="H301" s="334">
        <v>0.76</v>
      </c>
      <c r="I301" s="334">
        <v>0.71</v>
      </c>
      <c r="J301" s="334">
        <v>0.66</v>
      </c>
      <c r="K301" s="334">
        <v>0.61</v>
      </c>
      <c r="L301" s="334">
        <v>0.55000000000000004</v>
      </c>
      <c r="M301" s="334">
        <v>0.49</v>
      </c>
      <c r="P301" s="288"/>
      <c r="Q301" s="288"/>
      <c r="R301" s="288"/>
      <c r="S301" s="288"/>
      <c r="T301" s="288"/>
      <c r="W301" s="288"/>
      <c r="X301" s="288"/>
      <c r="Y301" s="288"/>
      <c r="Z301" s="288"/>
      <c r="AA301" s="288"/>
      <c r="AD301" s="288"/>
      <c r="AE301" s="288"/>
      <c r="AF301" s="288"/>
      <c r="AG301" s="288"/>
      <c r="AH301" s="288"/>
      <c r="AK301" s="288"/>
      <c r="AL301" s="288"/>
      <c r="AM301" s="288"/>
      <c r="AN301" s="288"/>
      <c r="AO301" s="288"/>
      <c r="AR301" s="288"/>
      <c r="AS301" s="288"/>
      <c r="AT301" s="288"/>
      <c r="AU301" s="288"/>
      <c r="AV301" s="288"/>
      <c r="AY301" s="288"/>
      <c r="AZ301" s="288"/>
      <c r="BA301" s="288"/>
      <c r="BB301" s="288"/>
      <c r="BC301" s="288"/>
      <c r="BF301" s="288"/>
      <c r="BG301" s="288"/>
      <c r="BH301" s="288"/>
      <c r="BI301" s="288"/>
      <c r="BJ301" s="288"/>
      <c r="BM301" s="288"/>
      <c r="BN301" s="288"/>
      <c r="BO301" s="288"/>
      <c r="BP301" s="288"/>
      <c r="BQ301" s="288"/>
      <c r="BT301" s="288"/>
      <c r="BU301" s="288"/>
      <c r="BV301" s="288"/>
      <c r="BW301" s="288"/>
      <c r="BX301" s="288"/>
      <c r="CA301" s="288"/>
      <c r="CB301" s="288"/>
      <c r="CC301" s="288"/>
      <c r="CD301" s="288"/>
      <c r="CE301" s="288"/>
      <c r="CH301" s="288"/>
      <c r="CI301" s="288"/>
      <c r="CJ301" s="288"/>
      <c r="CK301" s="288"/>
      <c r="CL301" s="288"/>
      <c r="CO301" s="288"/>
      <c r="CP301" s="288"/>
      <c r="CQ301" s="288"/>
      <c r="CR301" s="288"/>
      <c r="CS301" s="288"/>
    </row>
    <row r="302" spans="3:97" x14ac:dyDescent="0.25">
      <c r="C302" s="333">
        <v>270</v>
      </c>
      <c r="D302" s="334">
        <v>0.87</v>
      </c>
      <c r="E302" s="334">
        <v>0.87</v>
      </c>
      <c r="F302" s="334">
        <v>0.86</v>
      </c>
      <c r="G302" s="335">
        <v>0.83</v>
      </c>
      <c r="H302" s="334">
        <v>0.79</v>
      </c>
      <c r="I302" s="334">
        <v>0.75</v>
      </c>
      <c r="J302" s="334">
        <v>0.7</v>
      </c>
      <c r="K302" s="334">
        <v>0.65</v>
      </c>
      <c r="L302" s="334">
        <v>0.59</v>
      </c>
      <c r="M302" s="334">
        <v>0.52</v>
      </c>
      <c r="P302" s="288"/>
      <c r="Q302" s="288"/>
      <c r="R302" s="288"/>
      <c r="S302" s="288"/>
      <c r="T302" s="288"/>
      <c r="W302" s="288"/>
      <c r="X302" s="288"/>
      <c r="Y302" s="288"/>
      <c r="Z302" s="288"/>
      <c r="AA302" s="288"/>
      <c r="AD302" s="288"/>
      <c r="AE302" s="288"/>
      <c r="AF302" s="288"/>
      <c r="AG302" s="288"/>
      <c r="AH302" s="288"/>
      <c r="AK302" s="288"/>
      <c r="AL302" s="288"/>
      <c r="AM302" s="288"/>
      <c r="AN302" s="288"/>
      <c r="AO302" s="288"/>
      <c r="AR302" s="288"/>
      <c r="AS302" s="288"/>
      <c r="AT302" s="288"/>
      <c r="AU302" s="288"/>
      <c r="AV302" s="288"/>
      <c r="AY302" s="288"/>
      <c r="AZ302" s="288"/>
      <c r="BA302" s="288"/>
      <c r="BB302" s="288"/>
      <c r="BC302" s="288"/>
      <c r="BF302" s="288"/>
      <c r="BG302" s="288"/>
      <c r="BH302" s="288"/>
      <c r="BI302" s="288"/>
      <c r="BJ302" s="288"/>
      <c r="BM302" s="288"/>
      <c r="BN302" s="288"/>
      <c r="BO302" s="288"/>
      <c r="BP302" s="288"/>
      <c r="BQ302" s="288"/>
      <c r="BT302" s="288"/>
      <c r="BU302" s="288"/>
      <c r="BV302" s="288"/>
      <c r="BW302" s="288"/>
      <c r="BX302" s="288"/>
      <c r="CA302" s="288"/>
      <c r="CB302" s="288"/>
      <c r="CC302" s="288"/>
      <c r="CD302" s="288"/>
      <c r="CE302" s="288"/>
      <c r="CH302" s="288"/>
      <c r="CI302" s="288"/>
      <c r="CJ302" s="288"/>
      <c r="CK302" s="288"/>
      <c r="CL302" s="288"/>
      <c r="CO302" s="288"/>
      <c r="CP302" s="288"/>
      <c r="CQ302" s="288"/>
      <c r="CR302" s="288"/>
      <c r="CS302" s="288"/>
    </row>
    <row r="303" spans="3:97" x14ac:dyDescent="0.25">
      <c r="C303" s="333">
        <v>280</v>
      </c>
      <c r="D303" s="334">
        <v>0.87</v>
      </c>
      <c r="E303" s="334">
        <v>0.89</v>
      </c>
      <c r="F303" s="334">
        <v>0.88</v>
      </c>
      <c r="G303" s="335">
        <v>0.86</v>
      </c>
      <c r="H303" s="334">
        <v>0.83</v>
      </c>
      <c r="I303" s="334">
        <v>0.79</v>
      </c>
      <c r="J303" s="334">
        <v>0.74</v>
      </c>
      <c r="K303" s="334">
        <v>0.68</v>
      </c>
      <c r="L303" s="334">
        <v>0.62</v>
      </c>
      <c r="M303" s="334">
        <v>0.55000000000000004</v>
      </c>
      <c r="P303" s="288"/>
      <c r="Q303" s="288"/>
      <c r="R303" s="288"/>
      <c r="S303" s="288"/>
      <c r="T303" s="288"/>
      <c r="W303" s="288"/>
      <c r="X303" s="288"/>
      <c r="Y303" s="288"/>
      <c r="Z303" s="288"/>
      <c r="AA303" s="288"/>
      <c r="AD303" s="288"/>
      <c r="AE303" s="288"/>
      <c r="AF303" s="288"/>
      <c r="AG303" s="288"/>
      <c r="AH303" s="288"/>
      <c r="AK303" s="288"/>
      <c r="AL303" s="288"/>
      <c r="AM303" s="288"/>
      <c r="AN303" s="288"/>
      <c r="AO303" s="288"/>
      <c r="AR303" s="288"/>
      <c r="AS303" s="288"/>
      <c r="AT303" s="288"/>
      <c r="AU303" s="288"/>
      <c r="AV303" s="288"/>
      <c r="AY303" s="288"/>
      <c r="AZ303" s="288"/>
      <c r="BA303" s="288"/>
      <c r="BB303" s="288"/>
      <c r="BC303" s="288"/>
      <c r="BF303" s="288"/>
      <c r="BG303" s="288"/>
      <c r="BH303" s="288"/>
      <c r="BI303" s="288"/>
      <c r="BJ303" s="288"/>
      <c r="BM303" s="288"/>
      <c r="BN303" s="288"/>
      <c r="BO303" s="288"/>
      <c r="BP303" s="288"/>
      <c r="BQ303" s="288"/>
      <c r="BT303" s="288"/>
      <c r="BU303" s="288"/>
      <c r="BV303" s="288"/>
      <c r="BW303" s="288"/>
      <c r="BX303" s="288"/>
      <c r="CA303" s="288"/>
      <c r="CB303" s="288"/>
      <c r="CC303" s="288"/>
      <c r="CD303" s="288"/>
      <c r="CE303" s="288"/>
      <c r="CH303" s="288"/>
      <c r="CI303" s="288"/>
      <c r="CJ303" s="288"/>
      <c r="CK303" s="288"/>
      <c r="CL303" s="288"/>
      <c r="CO303" s="288"/>
      <c r="CP303" s="288"/>
      <c r="CQ303" s="288"/>
      <c r="CR303" s="288"/>
      <c r="CS303" s="288"/>
    </row>
    <row r="304" spans="3:97" x14ac:dyDescent="0.25">
      <c r="C304" s="333">
        <v>290</v>
      </c>
      <c r="D304" s="334">
        <v>0.87</v>
      </c>
      <c r="E304" s="334">
        <v>0.9</v>
      </c>
      <c r="F304" s="334">
        <v>0.9</v>
      </c>
      <c r="G304" s="335">
        <v>0.89</v>
      </c>
      <c r="H304" s="334">
        <v>0.86</v>
      </c>
      <c r="I304" s="334">
        <v>0.82</v>
      </c>
      <c r="J304" s="334">
        <v>0.77</v>
      </c>
      <c r="K304" s="334">
        <v>0.71</v>
      </c>
      <c r="L304" s="334">
        <v>0.65</v>
      </c>
      <c r="M304" s="334">
        <v>0.57999999999999996</v>
      </c>
      <c r="P304" s="288"/>
      <c r="Q304" s="288"/>
      <c r="R304" s="288"/>
      <c r="S304" s="288"/>
      <c r="T304" s="288"/>
      <c r="W304" s="288"/>
      <c r="X304" s="288"/>
      <c r="Y304" s="288"/>
      <c r="Z304" s="288"/>
      <c r="AA304" s="288"/>
      <c r="AD304" s="288"/>
      <c r="AE304" s="288"/>
      <c r="AF304" s="288"/>
      <c r="AG304" s="288"/>
      <c r="AH304" s="288"/>
      <c r="AK304" s="288"/>
      <c r="AL304" s="288"/>
      <c r="AM304" s="288"/>
      <c r="AN304" s="288"/>
      <c r="AO304" s="288"/>
      <c r="AR304" s="288"/>
      <c r="AS304" s="288"/>
      <c r="AT304" s="288"/>
      <c r="AU304" s="288"/>
      <c r="AV304" s="288"/>
      <c r="AY304" s="288"/>
      <c r="AZ304" s="288"/>
      <c r="BA304" s="288"/>
      <c r="BB304" s="288"/>
      <c r="BC304" s="288"/>
      <c r="BF304" s="288"/>
      <c r="BG304" s="288"/>
      <c r="BH304" s="288"/>
      <c r="BI304" s="288"/>
      <c r="BJ304" s="288"/>
      <c r="BM304" s="288"/>
      <c r="BN304" s="288"/>
      <c r="BO304" s="288"/>
      <c r="BP304" s="288"/>
      <c r="BQ304" s="288"/>
      <c r="BT304" s="288"/>
      <c r="BU304" s="288"/>
      <c r="BV304" s="288"/>
      <c r="BW304" s="288"/>
      <c r="BX304" s="288"/>
      <c r="CA304" s="288"/>
      <c r="CB304" s="288"/>
      <c r="CC304" s="288"/>
      <c r="CD304" s="288"/>
      <c r="CE304" s="288"/>
      <c r="CH304" s="288"/>
      <c r="CI304" s="288"/>
      <c r="CJ304" s="288"/>
      <c r="CK304" s="288"/>
      <c r="CL304" s="288"/>
      <c r="CO304" s="288"/>
      <c r="CP304" s="288"/>
      <c r="CQ304" s="288"/>
      <c r="CR304" s="288"/>
      <c r="CS304" s="288"/>
    </row>
    <row r="305" spans="3:97" x14ac:dyDescent="0.25">
      <c r="C305" s="333">
        <v>300</v>
      </c>
      <c r="D305" s="334">
        <v>0.87</v>
      </c>
      <c r="E305" s="334">
        <v>0.91</v>
      </c>
      <c r="F305" s="334">
        <v>0.92</v>
      </c>
      <c r="G305" s="335">
        <v>0.91</v>
      </c>
      <c r="H305" s="334">
        <v>0.89</v>
      </c>
      <c r="I305" s="334">
        <v>0.85</v>
      </c>
      <c r="J305" s="334">
        <v>0.81</v>
      </c>
      <c r="K305" s="334">
        <v>0.74</v>
      </c>
      <c r="L305" s="334">
        <v>0.67</v>
      </c>
      <c r="M305" s="334">
        <v>0.6</v>
      </c>
      <c r="P305" s="288"/>
      <c r="Q305" s="288"/>
      <c r="R305" s="288"/>
      <c r="S305" s="288"/>
      <c r="T305" s="288"/>
      <c r="W305" s="288"/>
      <c r="X305" s="288"/>
      <c r="Y305" s="288"/>
      <c r="Z305" s="288"/>
      <c r="AA305" s="288"/>
      <c r="AD305" s="288"/>
      <c r="AE305" s="288"/>
      <c r="AF305" s="288"/>
      <c r="AG305" s="288"/>
      <c r="AH305" s="288"/>
      <c r="AK305" s="288"/>
      <c r="AL305" s="288"/>
      <c r="AM305" s="288"/>
      <c r="AN305" s="288"/>
      <c r="AO305" s="288"/>
      <c r="AR305" s="288"/>
      <c r="AS305" s="288"/>
      <c r="AT305" s="288"/>
      <c r="AU305" s="288"/>
      <c r="AV305" s="288"/>
      <c r="AY305" s="288"/>
      <c r="AZ305" s="288"/>
      <c r="BA305" s="288"/>
      <c r="BB305" s="288"/>
      <c r="BC305" s="288"/>
      <c r="BF305" s="288"/>
      <c r="BG305" s="288"/>
      <c r="BH305" s="288"/>
      <c r="BI305" s="288"/>
      <c r="BJ305" s="288"/>
      <c r="BM305" s="288"/>
      <c r="BN305" s="288"/>
      <c r="BO305" s="288"/>
      <c r="BP305" s="288"/>
      <c r="BQ305" s="288"/>
      <c r="BT305" s="288"/>
      <c r="BU305" s="288"/>
      <c r="BV305" s="288"/>
      <c r="BW305" s="288"/>
      <c r="BX305" s="288"/>
      <c r="CA305" s="288"/>
      <c r="CB305" s="288"/>
      <c r="CC305" s="288"/>
      <c r="CD305" s="288"/>
      <c r="CE305" s="288"/>
      <c r="CH305" s="288"/>
      <c r="CI305" s="288"/>
      <c r="CJ305" s="288"/>
      <c r="CK305" s="288"/>
      <c r="CL305" s="288"/>
      <c r="CO305" s="288"/>
      <c r="CP305" s="288"/>
      <c r="CQ305" s="288"/>
      <c r="CR305" s="288"/>
      <c r="CS305" s="288"/>
    </row>
    <row r="306" spans="3:97" x14ac:dyDescent="0.25">
      <c r="C306" s="333">
        <v>310</v>
      </c>
      <c r="D306" s="334">
        <v>0.87</v>
      </c>
      <c r="E306" s="334">
        <v>0.91</v>
      </c>
      <c r="F306" s="334">
        <v>0.93</v>
      </c>
      <c r="G306" s="335">
        <v>0.94</v>
      </c>
      <c r="H306" s="334">
        <v>0.92</v>
      </c>
      <c r="I306" s="334">
        <v>0.88</v>
      </c>
      <c r="J306" s="334">
        <v>0.83</v>
      </c>
      <c r="K306" s="334">
        <v>0.77</v>
      </c>
      <c r="L306" s="334">
        <v>0.7</v>
      </c>
      <c r="M306" s="334">
        <v>0.61</v>
      </c>
      <c r="P306" s="288"/>
      <c r="Q306" s="288"/>
      <c r="R306" s="288"/>
      <c r="S306" s="288"/>
      <c r="T306" s="288"/>
      <c r="W306" s="288"/>
      <c r="X306" s="288"/>
      <c r="Y306" s="288"/>
      <c r="Z306" s="288"/>
      <c r="AA306" s="288"/>
      <c r="AD306" s="288"/>
      <c r="AE306" s="288"/>
      <c r="AF306" s="288"/>
      <c r="AG306" s="288"/>
      <c r="AH306" s="288"/>
      <c r="AK306" s="288"/>
      <c r="AL306" s="288"/>
      <c r="AM306" s="288"/>
      <c r="AN306" s="288"/>
      <c r="AO306" s="288"/>
      <c r="AR306" s="288"/>
      <c r="AS306" s="288"/>
      <c r="AT306" s="288"/>
      <c r="AU306" s="288"/>
      <c r="AV306" s="288"/>
      <c r="AY306" s="288"/>
      <c r="AZ306" s="288"/>
      <c r="BA306" s="288"/>
      <c r="BB306" s="288"/>
      <c r="BC306" s="288"/>
      <c r="BF306" s="288"/>
      <c r="BG306" s="288"/>
      <c r="BH306" s="288"/>
      <c r="BI306" s="288"/>
      <c r="BJ306" s="288"/>
      <c r="BM306" s="288"/>
      <c r="BN306" s="288"/>
      <c r="BO306" s="288"/>
      <c r="BP306" s="288"/>
      <c r="BQ306" s="288"/>
      <c r="BT306" s="288"/>
      <c r="BU306" s="288"/>
      <c r="BV306" s="288"/>
      <c r="BW306" s="288"/>
      <c r="BX306" s="288"/>
      <c r="CA306" s="288"/>
      <c r="CB306" s="288"/>
      <c r="CC306" s="288"/>
      <c r="CD306" s="288"/>
      <c r="CE306" s="288"/>
      <c r="CH306" s="288"/>
      <c r="CI306" s="288"/>
      <c r="CJ306" s="288"/>
      <c r="CK306" s="288"/>
      <c r="CL306" s="288"/>
      <c r="CO306" s="288"/>
      <c r="CP306" s="288"/>
      <c r="CQ306" s="288"/>
      <c r="CR306" s="288"/>
      <c r="CS306" s="288"/>
    </row>
    <row r="307" spans="3:97" x14ac:dyDescent="0.25">
      <c r="C307" s="333">
        <v>320</v>
      </c>
      <c r="D307" s="334">
        <v>0.87</v>
      </c>
      <c r="E307" s="334">
        <v>0.92</v>
      </c>
      <c r="F307" s="334">
        <v>0.95</v>
      </c>
      <c r="G307" s="335">
        <v>0.96</v>
      </c>
      <c r="H307" s="334">
        <v>0.94</v>
      </c>
      <c r="I307" s="334">
        <v>0.91</v>
      </c>
      <c r="J307" s="334">
        <v>0.86</v>
      </c>
      <c r="K307" s="334">
        <v>0.79</v>
      </c>
      <c r="L307" s="334">
        <v>0.71</v>
      </c>
      <c r="M307" s="334">
        <v>0.63</v>
      </c>
      <c r="P307" s="288"/>
      <c r="Q307" s="288"/>
      <c r="R307" s="288"/>
      <c r="S307" s="288"/>
      <c r="T307" s="288"/>
      <c r="W307" s="288"/>
      <c r="X307" s="288"/>
      <c r="Y307" s="288"/>
      <c r="Z307" s="288"/>
      <c r="AA307" s="288"/>
      <c r="AD307" s="288"/>
      <c r="AE307" s="288"/>
      <c r="AF307" s="288"/>
      <c r="AG307" s="288"/>
      <c r="AH307" s="288"/>
      <c r="AK307" s="288"/>
      <c r="AL307" s="288"/>
      <c r="AM307" s="288"/>
      <c r="AN307" s="288"/>
      <c r="AO307" s="288"/>
      <c r="AR307" s="288"/>
      <c r="AS307" s="288"/>
      <c r="AT307" s="288"/>
      <c r="AU307" s="288"/>
      <c r="AV307" s="288"/>
      <c r="AY307" s="288"/>
      <c r="AZ307" s="288"/>
      <c r="BA307" s="288"/>
      <c r="BB307" s="288"/>
      <c r="BC307" s="288"/>
      <c r="BF307" s="288"/>
      <c r="BG307" s="288"/>
      <c r="BH307" s="288"/>
      <c r="BI307" s="288"/>
      <c r="BJ307" s="288"/>
      <c r="BM307" s="288"/>
      <c r="BN307" s="288"/>
      <c r="BO307" s="288"/>
      <c r="BP307" s="288"/>
      <c r="BQ307" s="288"/>
      <c r="BT307" s="288"/>
      <c r="BU307" s="288"/>
      <c r="BV307" s="288"/>
      <c r="BW307" s="288"/>
      <c r="BX307" s="288"/>
      <c r="CA307" s="288"/>
      <c r="CB307" s="288"/>
      <c r="CC307" s="288"/>
      <c r="CD307" s="288"/>
      <c r="CE307" s="288"/>
      <c r="CH307" s="288"/>
      <c r="CI307" s="288"/>
      <c r="CJ307" s="288"/>
      <c r="CK307" s="288"/>
      <c r="CL307" s="288"/>
      <c r="CO307" s="288"/>
      <c r="CP307" s="288"/>
      <c r="CQ307" s="288"/>
      <c r="CR307" s="288"/>
      <c r="CS307" s="288"/>
    </row>
    <row r="308" spans="3:97" x14ac:dyDescent="0.25">
      <c r="C308" s="333">
        <v>330</v>
      </c>
      <c r="D308" s="334">
        <v>0.87</v>
      </c>
      <c r="E308" s="334">
        <v>0.93</v>
      </c>
      <c r="F308" s="334">
        <v>0.96</v>
      </c>
      <c r="G308" s="335">
        <v>0.97</v>
      </c>
      <c r="H308" s="334">
        <v>0.96</v>
      </c>
      <c r="I308" s="334">
        <v>0.93</v>
      </c>
      <c r="J308" s="334">
        <v>0.88</v>
      </c>
      <c r="K308" s="334">
        <v>0.81</v>
      </c>
      <c r="L308" s="334">
        <v>0.73</v>
      </c>
      <c r="M308" s="334">
        <v>0.63</v>
      </c>
      <c r="P308" s="288"/>
      <c r="Q308" s="288"/>
      <c r="R308" s="288"/>
      <c r="S308" s="288"/>
      <c r="T308" s="288"/>
      <c r="W308" s="288"/>
      <c r="X308" s="288"/>
      <c r="Y308" s="288"/>
      <c r="Z308" s="288"/>
      <c r="AA308" s="288"/>
      <c r="AD308" s="288"/>
      <c r="AE308" s="288"/>
      <c r="AF308" s="288"/>
      <c r="AG308" s="288"/>
      <c r="AH308" s="288"/>
      <c r="AK308" s="288"/>
      <c r="AL308" s="288"/>
      <c r="AM308" s="288"/>
      <c r="AN308" s="288"/>
      <c r="AO308" s="288"/>
      <c r="AR308" s="288"/>
      <c r="AS308" s="288"/>
      <c r="AT308" s="288"/>
      <c r="AU308" s="288"/>
      <c r="AV308" s="288"/>
      <c r="AY308" s="288"/>
      <c r="AZ308" s="288"/>
      <c r="BA308" s="288"/>
      <c r="BB308" s="288"/>
      <c r="BC308" s="288"/>
      <c r="BF308" s="288"/>
      <c r="BG308" s="288"/>
      <c r="BH308" s="288"/>
      <c r="BI308" s="288"/>
      <c r="BJ308" s="288"/>
      <c r="BM308" s="288"/>
      <c r="BN308" s="288"/>
      <c r="BO308" s="288"/>
      <c r="BP308" s="288"/>
      <c r="BQ308" s="288"/>
      <c r="BT308" s="288"/>
      <c r="BU308" s="288"/>
      <c r="BV308" s="288"/>
      <c r="BW308" s="288"/>
      <c r="BX308" s="288"/>
      <c r="CA308" s="288"/>
      <c r="CB308" s="288"/>
      <c r="CC308" s="288"/>
      <c r="CD308" s="288"/>
      <c r="CE308" s="288"/>
      <c r="CH308" s="288"/>
      <c r="CI308" s="288"/>
      <c r="CJ308" s="288"/>
      <c r="CK308" s="288"/>
      <c r="CL308" s="288"/>
      <c r="CO308" s="288"/>
      <c r="CP308" s="288"/>
      <c r="CQ308" s="288"/>
      <c r="CR308" s="288"/>
      <c r="CS308" s="288"/>
    </row>
    <row r="309" spans="3:97" x14ac:dyDescent="0.25">
      <c r="C309" s="333">
        <v>340</v>
      </c>
      <c r="D309" s="334">
        <v>0.87</v>
      </c>
      <c r="E309" s="334">
        <v>0.93</v>
      </c>
      <c r="F309" s="334">
        <v>0.97</v>
      </c>
      <c r="G309" s="335">
        <v>0.98</v>
      </c>
      <c r="H309" s="334">
        <v>0.98</v>
      </c>
      <c r="I309" s="334">
        <v>0.95</v>
      </c>
      <c r="J309" s="334">
        <v>0.89</v>
      </c>
      <c r="K309" s="334">
        <v>0.82</v>
      </c>
      <c r="L309" s="334">
        <v>0.74</v>
      </c>
      <c r="M309" s="334">
        <v>0.64</v>
      </c>
      <c r="P309" s="288"/>
      <c r="Q309" s="288"/>
      <c r="R309" s="288"/>
      <c r="S309" s="288"/>
      <c r="T309" s="288"/>
      <c r="W309" s="288"/>
      <c r="X309" s="288"/>
      <c r="Y309" s="288"/>
      <c r="Z309" s="288"/>
      <c r="AA309" s="288"/>
      <c r="AD309" s="288"/>
      <c r="AE309" s="288"/>
      <c r="AF309" s="288"/>
      <c r="AG309" s="288"/>
      <c r="AH309" s="288"/>
      <c r="AK309" s="288"/>
      <c r="AL309" s="288"/>
      <c r="AM309" s="288"/>
      <c r="AN309" s="288"/>
      <c r="AO309" s="288"/>
      <c r="AR309" s="288"/>
      <c r="AS309" s="288"/>
      <c r="AT309" s="288"/>
      <c r="AU309" s="288"/>
      <c r="AV309" s="288"/>
      <c r="AY309" s="288"/>
      <c r="AZ309" s="288"/>
      <c r="BA309" s="288"/>
      <c r="BB309" s="288"/>
      <c r="BC309" s="288"/>
      <c r="BF309" s="288"/>
      <c r="BG309" s="288"/>
      <c r="BH309" s="288"/>
      <c r="BI309" s="288"/>
      <c r="BJ309" s="288"/>
      <c r="BM309" s="288"/>
      <c r="BN309" s="288"/>
      <c r="BO309" s="288"/>
      <c r="BP309" s="288"/>
      <c r="BQ309" s="288"/>
      <c r="BT309" s="288"/>
      <c r="BU309" s="288"/>
      <c r="BV309" s="288"/>
      <c r="BW309" s="288"/>
      <c r="BX309" s="288"/>
      <c r="CA309" s="288"/>
      <c r="CB309" s="288"/>
      <c r="CC309" s="288"/>
      <c r="CD309" s="288"/>
      <c r="CE309" s="288"/>
      <c r="CH309" s="288"/>
      <c r="CI309" s="288"/>
      <c r="CJ309" s="288"/>
      <c r="CK309" s="288"/>
      <c r="CL309" s="288"/>
      <c r="CO309" s="288"/>
      <c r="CP309" s="288"/>
      <c r="CQ309" s="288"/>
      <c r="CR309" s="288"/>
      <c r="CS309" s="288"/>
    </row>
    <row r="310" spans="3:97" x14ac:dyDescent="0.25">
      <c r="C310" s="333">
        <v>350</v>
      </c>
      <c r="D310" s="334">
        <v>0.87</v>
      </c>
      <c r="E310" s="334">
        <v>0.94</v>
      </c>
      <c r="F310" s="334">
        <v>0.98</v>
      </c>
      <c r="G310" s="335">
        <v>0.99</v>
      </c>
      <c r="H310" s="334">
        <v>0.99</v>
      </c>
      <c r="I310" s="334">
        <v>0.95</v>
      </c>
      <c r="J310" s="334">
        <v>0.9</v>
      </c>
      <c r="K310" s="334">
        <v>0.83</v>
      </c>
      <c r="L310" s="334">
        <v>0.74</v>
      </c>
      <c r="M310" s="334">
        <v>0.64</v>
      </c>
      <c r="P310" s="288"/>
      <c r="Q310" s="288"/>
      <c r="R310" s="288"/>
      <c r="S310" s="288"/>
      <c r="T310" s="288"/>
      <c r="W310" s="288"/>
      <c r="X310" s="288"/>
      <c r="Y310" s="288"/>
      <c r="Z310" s="288"/>
      <c r="AA310" s="288"/>
      <c r="AD310" s="288"/>
      <c r="AE310" s="288"/>
      <c r="AF310" s="288"/>
      <c r="AG310" s="288"/>
      <c r="AH310" s="288"/>
      <c r="AK310" s="288"/>
      <c r="AL310" s="288"/>
      <c r="AM310" s="288"/>
      <c r="AN310" s="288"/>
      <c r="AO310" s="288"/>
      <c r="AR310" s="288"/>
      <c r="AS310" s="288"/>
      <c r="AT310" s="288"/>
      <c r="AU310" s="288"/>
      <c r="AV310" s="288"/>
      <c r="AY310" s="288"/>
      <c r="AZ310" s="288"/>
      <c r="BA310" s="288"/>
      <c r="BB310" s="288"/>
      <c r="BC310" s="288"/>
      <c r="BF310" s="288"/>
      <c r="BG310" s="288"/>
      <c r="BH310" s="288"/>
      <c r="BI310" s="288"/>
      <c r="BJ310" s="288"/>
      <c r="BM310" s="288"/>
      <c r="BN310" s="288"/>
      <c r="BO310" s="288"/>
      <c r="BP310" s="288"/>
      <c r="BQ310" s="288"/>
      <c r="BT310" s="288"/>
      <c r="BU310" s="288"/>
      <c r="BV310" s="288"/>
      <c r="BW310" s="288"/>
      <c r="BX310" s="288"/>
      <c r="CA310" s="288"/>
      <c r="CB310" s="288"/>
      <c r="CC310" s="288"/>
      <c r="CD310" s="288"/>
      <c r="CE310" s="288"/>
      <c r="CH310" s="288"/>
      <c r="CI310" s="288"/>
      <c r="CJ310" s="288"/>
      <c r="CK310" s="288"/>
      <c r="CL310" s="288"/>
      <c r="CO310" s="288"/>
      <c r="CP310" s="288"/>
      <c r="CQ310" s="288"/>
      <c r="CR310" s="288"/>
      <c r="CS310" s="288"/>
    </row>
    <row r="311" spans="3:97" x14ac:dyDescent="0.25">
      <c r="F311" s="260"/>
      <c r="P311" s="288"/>
      <c r="Q311" s="288"/>
      <c r="R311" s="288"/>
      <c r="S311" s="288"/>
      <c r="T311" s="288"/>
      <c r="W311" s="288"/>
      <c r="X311" s="288"/>
      <c r="Y311" s="288"/>
      <c r="Z311" s="288"/>
      <c r="AA311" s="288"/>
      <c r="AD311" s="288"/>
      <c r="AE311" s="288"/>
      <c r="AF311" s="288"/>
      <c r="AG311" s="288"/>
      <c r="AH311" s="288"/>
      <c r="AK311" s="288"/>
      <c r="AL311" s="288"/>
      <c r="AM311" s="288"/>
      <c r="AN311" s="288"/>
      <c r="AO311" s="288"/>
      <c r="AR311" s="288"/>
      <c r="AS311" s="288"/>
      <c r="AT311" s="288"/>
      <c r="AU311" s="288"/>
      <c r="AV311" s="288"/>
      <c r="AY311" s="288"/>
      <c r="AZ311" s="288"/>
      <c r="BA311" s="288"/>
      <c r="BB311" s="288"/>
      <c r="BC311" s="288"/>
      <c r="BF311" s="288"/>
      <c r="BG311" s="288"/>
      <c r="BH311" s="288"/>
      <c r="BI311" s="288"/>
      <c r="BJ311" s="288"/>
      <c r="BM311" s="288"/>
      <c r="BN311" s="288"/>
      <c r="BO311" s="288"/>
      <c r="BP311" s="288"/>
      <c r="BQ311" s="288"/>
      <c r="BT311" s="288"/>
      <c r="BU311" s="288"/>
      <c r="BV311" s="288"/>
      <c r="BW311" s="288"/>
      <c r="BX311" s="288"/>
      <c r="CA311" s="288"/>
      <c r="CB311" s="288"/>
      <c r="CC311" s="288"/>
      <c r="CD311" s="288"/>
      <c r="CE311" s="288"/>
      <c r="CH311" s="288"/>
      <c r="CI311" s="288"/>
      <c r="CJ311" s="288"/>
      <c r="CK311" s="288"/>
      <c r="CL311" s="288"/>
      <c r="CO311" s="288"/>
      <c r="CP311" s="288"/>
      <c r="CQ311" s="288"/>
      <c r="CR311" s="288"/>
      <c r="CS311" s="288"/>
    </row>
    <row r="312" spans="3:97" x14ac:dyDescent="0.25">
      <c r="F312" s="260"/>
      <c r="P312" s="288"/>
      <c r="Q312" s="288"/>
      <c r="R312" s="288"/>
      <c r="S312" s="288"/>
      <c r="T312" s="288"/>
      <c r="W312" s="288"/>
      <c r="X312" s="288"/>
      <c r="Y312" s="288"/>
      <c r="Z312" s="288"/>
      <c r="AA312" s="288"/>
      <c r="AD312" s="288"/>
      <c r="AE312" s="288"/>
      <c r="AF312" s="288"/>
      <c r="AG312" s="288"/>
      <c r="AH312" s="288"/>
      <c r="AK312" s="288"/>
      <c r="AL312" s="288"/>
      <c r="AM312" s="288"/>
      <c r="AN312" s="288"/>
      <c r="AO312" s="288"/>
      <c r="AR312" s="288"/>
      <c r="AS312" s="288"/>
      <c r="AT312" s="288"/>
      <c r="AU312" s="288"/>
      <c r="AV312" s="288"/>
      <c r="AY312" s="288"/>
      <c r="AZ312" s="288"/>
      <c r="BA312" s="288"/>
      <c r="BB312" s="288"/>
      <c r="BC312" s="288"/>
      <c r="BF312" s="288"/>
      <c r="BG312" s="288"/>
      <c r="BH312" s="288"/>
      <c r="BI312" s="288"/>
      <c r="BJ312" s="288"/>
      <c r="BM312" s="288"/>
      <c r="BN312" s="288"/>
      <c r="BO312" s="288"/>
      <c r="BP312" s="288"/>
      <c r="BQ312" s="288"/>
      <c r="BT312" s="288"/>
      <c r="BU312" s="288"/>
      <c r="BV312" s="288"/>
      <c r="BW312" s="288"/>
      <c r="BX312" s="288"/>
      <c r="CA312" s="288"/>
      <c r="CB312" s="288"/>
      <c r="CC312" s="288"/>
      <c r="CD312" s="288"/>
      <c r="CE312" s="288"/>
      <c r="CH312" s="288"/>
      <c r="CI312" s="288"/>
      <c r="CJ312" s="288"/>
      <c r="CK312" s="288"/>
      <c r="CL312" s="288"/>
      <c r="CO312" s="288"/>
      <c r="CP312" s="288"/>
      <c r="CQ312" s="288"/>
      <c r="CR312" s="288"/>
      <c r="CS312" s="288"/>
    </row>
    <row r="313" spans="3:97" x14ac:dyDescent="0.25">
      <c r="C313" s="415" t="s">
        <v>224</v>
      </c>
      <c r="D313" s="415"/>
      <c r="E313" s="415"/>
      <c r="F313" s="415"/>
      <c r="G313" s="415"/>
      <c r="H313" s="415"/>
      <c r="I313" s="415"/>
      <c r="J313" s="415"/>
      <c r="K313" s="415"/>
      <c r="L313" s="415"/>
      <c r="M313" s="415"/>
      <c r="O313" s="279" t="s">
        <v>496</v>
      </c>
      <c r="W313" s="288"/>
      <c r="X313" s="288"/>
      <c r="Y313" s="288"/>
      <c r="Z313" s="288"/>
      <c r="AA313" s="288"/>
      <c r="AD313" s="288"/>
      <c r="AE313" s="288"/>
      <c r="AF313" s="288"/>
      <c r="AG313" s="288"/>
      <c r="AH313" s="288"/>
      <c r="AK313" s="288"/>
      <c r="AL313" s="288"/>
      <c r="AM313" s="288"/>
      <c r="AN313" s="288"/>
      <c r="AO313" s="288"/>
      <c r="AR313" s="288"/>
      <c r="AS313" s="288"/>
      <c r="AT313" s="288"/>
      <c r="AU313" s="288"/>
      <c r="AV313" s="288"/>
      <c r="AY313" s="288"/>
      <c r="AZ313" s="288"/>
      <c r="BA313" s="288"/>
      <c r="BB313" s="288"/>
      <c r="BC313" s="288"/>
      <c r="BF313" s="288"/>
      <c r="BG313" s="288"/>
      <c r="BH313" s="288"/>
      <c r="BI313" s="288"/>
      <c r="BJ313" s="288"/>
      <c r="BM313" s="288"/>
      <c r="BN313" s="288"/>
      <c r="BO313" s="288"/>
      <c r="BP313" s="288"/>
      <c r="BQ313" s="288"/>
      <c r="BT313" s="288"/>
      <c r="BU313" s="288"/>
      <c r="BV313" s="288"/>
      <c r="BW313" s="288"/>
      <c r="BX313" s="288"/>
      <c r="CA313" s="288"/>
      <c r="CB313" s="288"/>
      <c r="CC313" s="288"/>
      <c r="CD313" s="288"/>
      <c r="CE313" s="288"/>
      <c r="CH313" s="288"/>
      <c r="CI313" s="288"/>
      <c r="CJ313" s="288"/>
      <c r="CK313" s="288"/>
      <c r="CL313" s="288"/>
      <c r="CO313" s="288"/>
      <c r="CP313" s="288"/>
      <c r="CQ313" s="288"/>
      <c r="CR313" s="288"/>
      <c r="CS313" s="288"/>
    </row>
    <row r="314" spans="3:97" ht="15.75" customHeight="1" x14ac:dyDescent="0.25">
      <c r="C314" s="416" t="s">
        <v>221</v>
      </c>
      <c r="D314" s="416" t="s">
        <v>222</v>
      </c>
      <c r="E314" s="416"/>
      <c r="F314" s="416"/>
      <c r="G314" s="416"/>
      <c r="H314" s="416"/>
      <c r="I314" s="416"/>
      <c r="J314" s="416"/>
      <c r="K314" s="416"/>
      <c r="L314" s="416"/>
      <c r="M314" s="416"/>
      <c r="O314" s="415" t="str">
        <f>O313&amp;" - Janurary"</f>
        <v>DARWIN - Janurary</v>
      </c>
      <c r="P314" s="415"/>
      <c r="Q314" s="415"/>
      <c r="R314" s="415"/>
      <c r="S314" s="415"/>
      <c r="T314" s="415"/>
      <c r="V314" s="415" t="str">
        <f>O313&amp;" - February"</f>
        <v>DARWIN - February</v>
      </c>
      <c r="W314" s="415"/>
      <c r="X314" s="415"/>
      <c r="Y314" s="415"/>
      <c r="Z314" s="415"/>
      <c r="AA314" s="415"/>
      <c r="AC314" s="415" t="str">
        <f>O313&amp;" - March"</f>
        <v>DARWIN - March</v>
      </c>
      <c r="AD314" s="415"/>
      <c r="AE314" s="415"/>
      <c r="AF314" s="415"/>
      <c r="AG314" s="415"/>
      <c r="AH314" s="415"/>
      <c r="AJ314" s="415" t="str">
        <f>O313&amp;" - April"</f>
        <v>DARWIN - April</v>
      </c>
      <c r="AK314" s="415"/>
      <c r="AL314" s="415"/>
      <c r="AM314" s="415"/>
      <c r="AN314" s="415"/>
      <c r="AO314" s="415"/>
      <c r="AQ314" s="415" t="str">
        <f>O313&amp;" - May"</f>
        <v>DARWIN - May</v>
      </c>
      <c r="AR314" s="415"/>
      <c r="AS314" s="415"/>
      <c r="AT314" s="415"/>
      <c r="AU314" s="415"/>
      <c r="AV314" s="415"/>
      <c r="AX314" s="415" t="str">
        <f>O313&amp;" - June"</f>
        <v>DARWIN - June</v>
      </c>
      <c r="AY314" s="415"/>
      <c r="AZ314" s="415"/>
      <c r="BA314" s="415"/>
      <c r="BB314" s="415"/>
      <c r="BC314" s="415"/>
      <c r="BE314" s="415" t="str">
        <f>O313&amp;" - July"</f>
        <v>DARWIN - July</v>
      </c>
      <c r="BF314" s="415"/>
      <c r="BG314" s="415"/>
      <c r="BH314" s="415"/>
      <c r="BI314" s="415"/>
      <c r="BJ314" s="415"/>
      <c r="BL314" s="415" t="str">
        <f>O313&amp;" - August"</f>
        <v>DARWIN - August</v>
      </c>
      <c r="BM314" s="415"/>
      <c r="BN314" s="415"/>
      <c r="BO314" s="415"/>
      <c r="BP314" s="415"/>
      <c r="BQ314" s="415"/>
      <c r="BS314" s="415" t="str">
        <f>O313&amp;" - September"</f>
        <v>DARWIN - September</v>
      </c>
      <c r="BT314" s="415"/>
      <c r="BU314" s="415"/>
      <c r="BV314" s="415"/>
      <c r="BW314" s="415"/>
      <c r="BX314" s="415"/>
      <c r="BZ314" s="415" t="str">
        <f>O313&amp;" - October"</f>
        <v>DARWIN - October</v>
      </c>
      <c r="CA314" s="415"/>
      <c r="CB314" s="415"/>
      <c r="CC314" s="415"/>
      <c r="CD314" s="415"/>
      <c r="CE314" s="415"/>
      <c r="CG314" s="415" t="str">
        <f>O313&amp;" - November"</f>
        <v>DARWIN - November</v>
      </c>
      <c r="CH314" s="415"/>
      <c r="CI314" s="415"/>
      <c r="CJ314" s="415"/>
      <c r="CK314" s="415"/>
      <c r="CL314" s="415"/>
      <c r="CN314" s="415" t="str">
        <f>O313&amp;" - December"</f>
        <v>DARWIN - December</v>
      </c>
      <c r="CO314" s="415"/>
      <c r="CP314" s="415"/>
      <c r="CQ314" s="415"/>
      <c r="CR314" s="415"/>
      <c r="CS314" s="415"/>
    </row>
    <row r="315" spans="3:97" x14ac:dyDescent="0.25">
      <c r="C315" s="416"/>
      <c r="D315" s="333">
        <v>0</v>
      </c>
      <c r="E315" s="333">
        <v>10</v>
      </c>
      <c r="F315" s="333">
        <v>20</v>
      </c>
      <c r="G315" s="333">
        <v>30</v>
      </c>
      <c r="H315" s="333">
        <v>40</v>
      </c>
      <c r="I315" s="333">
        <v>50</v>
      </c>
      <c r="J315" s="333">
        <v>60</v>
      </c>
      <c r="K315" s="333">
        <v>70</v>
      </c>
      <c r="L315" s="333">
        <v>80</v>
      </c>
      <c r="M315" s="333">
        <v>90</v>
      </c>
      <c r="O315" s="416" t="s">
        <v>221</v>
      </c>
      <c r="P315" s="416" t="s">
        <v>222</v>
      </c>
      <c r="Q315" s="416"/>
      <c r="R315" s="416"/>
      <c r="S315" s="416"/>
      <c r="T315" s="416"/>
      <c r="V315" s="416" t="s">
        <v>221</v>
      </c>
      <c r="W315" s="416" t="s">
        <v>222</v>
      </c>
      <c r="X315" s="416"/>
      <c r="Y315" s="416"/>
      <c r="Z315" s="416"/>
      <c r="AA315" s="416"/>
      <c r="AC315" s="416" t="s">
        <v>221</v>
      </c>
      <c r="AD315" s="416" t="s">
        <v>222</v>
      </c>
      <c r="AE315" s="416"/>
      <c r="AF315" s="416"/>
      <c r="AG315" s="416"/>
      <c r="AH315" s="416"/>
      <c r="AJ315" s="416" t="s">
        <v>221</v>
      </c>
      <c r="AK315" s="416" t="s">
        <v>222</v>
      </c>
      <c r="AL315" s="416"/>
      <c r="AM315" s="416"/>
      <c r="AN315" s="416"/>
      <c r="AO315" s="416"/>
      <c r="AQ315" s="416" t="s">
        <v>221</v>
      </c>
      <c r="AR315" s="416" t="s">
        <v>222</v>
      </c>
      <c r="AS315" s="416"/>
      <c r="AT315" s="416"/>
      <c r="AU315" s="416"/>
      <c r="AV315" s="416"/>
      <c r="AX315" s="416" t="s">
        <v>221</v>
      </c>
      <c r="AY315" s="416" t="s">
        <v>222</v>
      </c>
      <c r="AZ315" s="416"/>
      <c r="BA315" s="416"/>
      <c r="BB315" s="416"/>
      <c r="BC315" s="416"/>
      <c r="BE315" s="416" t="s">
        <v>221</v>
      </c>
      <c r="BF315" s="416" t="s">
        <v>222</v>
      </c>
      <c r="BG315" s="416"/>
      <c r="BH315" s="416"/>
      <c r="BI315" s="416"/>
      <c r="BJ315" s="416"/>
      <c r="BL315" s="416" t="s">
        <v>221</v>
      </c>
      <c r="BM315" s="416" t="s">
        <v>222</v>
      </c>
      <c r="BN315" s="416"/>
      <c r="BO315" s="416"/>
      <c r="BP315" s="416"/>
      <c r="BQ315" s="416"/>
      <c r="BS315" s="416" t="s">
        <v>221</v>
      </c>
      <c r="BT315" s="416" t="s">
        <v>222</v>
      </c>
      <c r="BU315" s="416"/>
      <c r="BV315" s="416"/>
      <c r="BW315" s="416"/>
      <c r="BX315" s="416"/>
      <c r="BZ315" s="416" t="s">
        <v>221</v>
      </c>
      <c r="CA315" s="416" t="s">
        <v>222</v>
      </c>
      <c r="CB315" s="416"/>
      <c r="CC315" s="416"/>
      <c r="CD315" s="416"/>
      <c r="CE315" s="416"/>
      <c r="CG315" s="416" t="s">
        <v>221</v>
      </c>
      <c r="CH315" s="416" t="s">
        <v>222</v>
      </c>
      <c r="CI315" s="416"/>
      <c r="CJ315" s="416"/>
      <c r="CK315" s="416"/>
      <c r="CL315" s="416"/>
      <c r="CN315" s="416" t="s">
        <v>221</v>
      </c>
      <c r="CO315" s="416" t="s">
        <v>222</v>
      </c>
      <c r="CP315" s="416"/>
      <c r="CQ315" s="416"/>
      <c r="CR315" s="416"/>
      <c r="CS315" s="416"/>
    </row>
    <row r="316" spans="3:97" x14ac:dyDescent="0.25">
      <c r="C316" s="333">
        <v>0</v>
      </c>
      <c r="D316" s="334">
        <v>0.96</v>
      </c>
      <c r="E316" s="334">
        <v>0.99</v>
      </c>
      <c r="F316" s="335">
        <v>1</v>
      </c>
      <c r="G316" s="334">
        <v>0.99</v>
      </c>
      <c r="H316" s="334">
        <v>0.94</v>
      </c>
      <c r="I316" s="334">
        <v>0.88</v>
      </c>
      <c r="J316" s="334">
        <v>0.79</v>
      </c>
      <c r="K316" s="334">
        <v>0.69</v>
      </c>
      <c r="L316" s="334">
        <v>0.57999999999999996</v>
      </c>
      <c r="M316" s="334">
        <v>0.48</v>
      </c>
      <c r="O316" s="416"/>
      <c r="P316" s="333">
        <v>0</v>
      </c>
      <c r="Q316" s="333">
        <v>10</v>
      </c>
      <c r="R316" s="333">
        <v>20</v>
      </c>
      <c r="S316" s="333">
        <v>30</v>
      </c>
      <c r="T316" s="333">
        <v>40</v>
      </c>
      <c r="V316" s="416"/>
      <c r="W316" s="333">
        <v>0</v>
      </c>
      <c r="X316" s="333">
        <v>10</v>
      </c>
      <c r="Y316" s="333">
        <v>20</v>
      </c>
      <c r="Z316" s="333">
        <v>30</v>
      </c>
      <c r="AA316" s="333">
        <v>40</v>
      </c>
      <c r="AC316" s="416"/>
      <c r="AD316" s="333">
        <v>0</v>
      </c>
      <c r="AE316" s="333">
        <v>10</v>
      </c>
      <c r="AF316" s="333">
        <v>20</v>
      </c>
      <c r="AG316" s="333">
        <v>30</v>
      </c>
      <c r="AH316" s="333">
        <v>40</v>
      </c>
      <c r="AJ316" s="416"/>
      <c r="AK316" s="333">
        <v>0</v>
      </c>
      <c r="AL316" s="333">
        <v>10</v>
      </c>
      <c r="AM316" s="333">
        <v>20</v>
      </c>
      <c r="AN316" s="333">
        <v>30</v>
      </c>
      <c r="AO316" s="333">
        <v>40</v>
      </c>
      <c r="AQ316" s="416"/>
      <c r="AR316" s="333">
        <v>0</v>
      </c>
      <c r="AS316" s="333">
        <v>10</v>
      </c>
      <c r="AT316" s="333">
        <v>20</v>
      </c>
      <c r="AU316" s="333">
        <v>30</v>
      </c>
      <c r="AV316" s="333">
        <v>40</v>
      </c>
      <c r="AX316" s="416"/>
      <c r="AY316" s="333">
        <v>0</v>
      </c>
      <c r="AZ316" s="333">
        <v>10</v>
      </c>
      <c r="BA316" s="333">
        <v>20</v>
      </c>
      <c r="BB316" s="333">
        <v>30</v>
      </c>
      <c r="BC316" s="333">
        <v>40</v>
      </c>
      <c r="BE316" s="416"/>
      <c r="BF316" s="333">
        <v>0</v>
      </c>
      <c r="BG316" s="333">
        <v>10</v>
      </c>
      <c r="BH316" s="333">
        <v>20</v>
      </c>
      <c r="BI316" s="333">
        <v>30</v>
      </c>
      <c r="BJ316" s="333">
        <v>40</v>
      </c>
      <c r="BL316" s="416"/>
      <c r="BM316" s="333">
        <v>0</v>
      </c>
      <c r="BN316" s="333">
        <v>10</v>
      </c>
      <c r="BO316" s="333">
        <v>20</v>
      </c>
      <c r="BP316" s="333">
        <v>30</v>
      </c>
      <c r="BQ316" s="333">
        <v>40</v>
      </c>
      <c r="BS316" s="416"/>
      <c r="BT316" s="333">
        <v>0</v>
      </c>
      <c r="BU316" s="333">
        <v>10</v>
      </c>
      <c r="BV316" s="333">
        <v>20</v>
      </c>
      <c r="BW316" s="333">
        <v>30</v>
      </c>
      <c r="BX316" s="333">
        <v>40</v>
      </c>
      <c r="BZ316" s="416"/>
      <c r="CA316" s="333">
        <v>0</v>
      </c>
      <c r="CB316" s="333">
        <v>10</v>
      </c>
      <c r="CC316" s="333">
        <v>20</v>
      </c>
      <c r="CD316" s="333">
        <v>30</v>
      </c>
      <c r="CE316" s="333">
        <v>40</v>
      </c>
      <c r="CG316" s="416"/>
      <c r="CH316" s="333">
        <v>0</v>
      </c>
      <c r="CI316" s="333">
        <v>10</v>
      </c>
      <c r="CJ316" s="333">
        <v>20</v>
      </c>
      <c r="CK316" s="333">
        <v>30</v>
      </c>
      <c r="CL316" s="333">
        <v>40</v>
      </c>
      <c r="CN316" s="416"/>
      <c r="CO316" s="333">
        <v>0</v>
      </c>
      <c r="CP316" s="333">
        <v>10</v>
      </c>
      <c r="CQ316" s="333">
        <v>20</v>
      </c>
      <c r="CR316" s="333">
        <v>30</v>
      </c>
      <c r="CS316" s="333">
        <v>40</v>
      </c>
    </row>
    <row r="317" spans="3:97" x14ac:dyDescent="0.25">
      <c r="C317" s="333">
        <v>10</v>
      </c>
      <c r="D317" s="334">
        <v>0.96</v>
      </c>
      <c r="E317" s="334">
        <v>0.99</v>
      </c>
      <c r="F317" s="335">
        <v>1</v>
      </c>
      <c r="G317" s="334">
        <v>0.99</v>
      </c>
      <c r="H317" s="334">
        <v>0.94</v>
      </c>
      <c r="I317" s="334">
        <v>0.88</v>
      </c>
      <c r="J317" s="334">
        <v>0.79</v>
      </c>
      <c r="K317" s="334">
        <v>0.69</v>
      </c>
      <c r="L317" s="334">
        <v>0.57999999999999996</v>
      </c>
      <c r="M317" s="334">
        <v>0.48</v>
      </c>
      <c r="O317" s="333">
        <v>270</v>
      </c>
      <c r="P317" s="334">
        <v>1</v>
      </c>
      <c r="Q317" s="334">
        <v>1</v>
      </c>
      <c r="R317" s="334">
        <v>0.97</v>
      </c>
      <c r="S317" s="334">
        <v>0.94</v>
      </c>
      <c r="T317" s="334">
        <v>0.89</v>
      </c>
      <c r="V317" s="333">
        <v>270</v>
      </c>
      <c r="W317" s="334">
        <v>1</v>
      </c>
      <c r="X317" s="334">
        <v>1</v>
      </c>
      <c r="Y317" s="334">
        <v>0.98</v>
      </c>
      <c r="Z317" s="334">
        <v>0.94</v>
      </c>
      <c r="AA317" s="334">
        <v>0.9</v>
      </c>
      <c r="AC317" s="333">
        <v>270</v>
      </c>
      <c r="AD317" s="334">
        <v>1</v>
      </c>
      <c r="AE317" s="334">
        <v>1</v>
      </c>
      <c r="AF317" s="334">
        <v>0.98</v>
      </c>
      <c r="AG317" s="334">
        <v>0.94</v>
      </c>
      <c r="AH317" s="334">
        <v>0.9</v>
      </c>
      <c r="AJ317" s="333">
        <v>270</v>
      </c>
      <c r="AK317" s="334">
        <v>1</v>
      </c>
      <c r="AL317" s="334">
        <v>1</v>
      </c>
      <c r="AM317" s="334">
        <v>0.99</v>
      </c>
      <c r="AN317" s="334">
        <v>0.96</v>
      </c>
      <c r="AO317" s="334">
        <v>0.92</v>
      </c>
      <c r="AQ317" s="333">
        <v>270</v>
      </c>
      <c r="AR317" s="334">
        <v>1</v>
      </c>
      <c r="AS317" s="334">
        <v>1</v>
      </c>
      <c r="AT317" s="334">
        <v>1</v>
      </c>
      <c r="AU317" s="334">
        <v>0.97</v>
      </c>
      <c r="AV317" s="334">
        <v>0.93</v>
      </c>
      <c r="AX317" s="333">
        <v>270</v>
      </c>
      <c r="AY317" s="334">
        <v>1</v>
      </c>
      <c r="AZ317" s="334">
        <v>1</v>
      </c>
      <c r="BA317" s="334">
        <v>1</v>
      </c>
      <c r="BB317" s="334">
        <v>0.97</v>
      </c>
      <c r="BC317" s="334">
        <v>0.93</v>
      </c>
      <c r="BE317" s="333">
        <v>270</v>
      </c>
      <c r="BF317" s="334">
        <v>1</v>
      </c>
      <c r="BG317" s="334">
        <v>1</v>
      </c>
      <c r="BH317" s="334">
        <v>1</v>
      </c>
      <c r="BI317" s="334">
        <v>0.97</v>
      </c>
      <c r="BJ317" s="334">
        <v>0.93</v>
      </c>
      <c r="BL317" s="333">
        <v>270</v>
      </c>
      <c r="BM317" s="334">
        <v>1</v>
      </c>
      <c r="BN317" s="334">
        <v>1</v>
      </c>
      <c r="BO317" s="334">
        <v>0.99</v>
      </c>
      <c r="BP317" s="334">
        <v>0.97</v>
      </c>
      <c r="BQ317" s="334">
        <v>0.93</v>
      </c>
      <c r="BS317" s="333">
        <v>270</v>
      </c>
      <c r="BT317" s="334">
        <v>1</v>
      </c>
      <c r="BU317" s="334">
        <v>1.01</v>
      </c>
      <c r="BV317" s="334">
        <v>1</v>
      </c>
      <c r="BW317" s="334">
        <v>0.97</v>
      </c>
      <c r="BX317" s="334">
        <v>0.93</v>
      </c>
      <c r="BZ317" s="333">
        <v>270</v>
      </c>
      <c r="CA317" s="334">
        <v>1</v>
      </c>
      <c r="CB317" s="334">
        <v>1</v>
      </c>
      <c r="CC317" s="334">
        <v>0.99</v>
      </c>
      <c r="CD317" s="334">
        <v>0.96</v>
      </c>
      <c r="CE317" s="334">
        <v>0.92</v>
      </c>
      <c r="CG317" s="333">
        <v>270</v>
      </c>
      <c r="CH317" s="334">
        <v>1</v>
      </c>
      <c r="CI317" s="334">
        <v>1</v>
      </c>
      <c r="CJ317" s="334">
        <v>0.98</v>
      </c>
      <c r="CK317" s="334">
        <v>0.95</v>
      </c>
      <c r="CL317" s="334">
        <v>0.9</v>
      </c>
      <c r="CN317" s="333">
        <v>270</v>
      </c>
      <c r="CO317" s="334">
        <v>1</v>
      </c>
      <c r="CP317" s="334">
        <v>1</v>
      </c>
      <c r="CQ317" s="334">
        <v>0.97</v>
      </c>
      <c r="CR317" s="334">
        <v>0.94</v>
      </c>
      <c r="CS317" s="334">
        <v>0.89</v>
      </c>
    </row>
    <row r="318" spans="3:97" x14ac:dyDescent="0.25">
      <c r="C318" s="333">
        <v>20</v>
      </c>
      <c r="D318" s="334">
        <v>0.96</v>
      </c>
      <c r="E318" s="334">
        <v>0.99</v>
      </c>
      <c r="F318" s="335">
        <v>1</v>
      </c>
      <c r="G318" s="334">
        <v>0.98</v>
      </c>
      <c r="H318" s="334">
        <v>0.94</v>
      </c>
      <c r="I318" s="334">
        <v>0.88</v>
      </c>
      <c r="J318" s="334">
        <v>0.8</v>
      </c>
      <c r="K318" s="334">
        <v>0.7</v>
      </c>
      <c r="L318" s="334">
        <v>0.59</v>
      </c>
      <c r="M318" s="334">
        <v>0.49</v>
      </c>
      <c r="O318" s="333">
        <v>280</v>
      </c>
      <c r="P318" s="334">
        <v>1</v>
      </c>
      <c r="Q318" s="334">
        <v>0.99</v>
      </c>
      <c r="R318" s="334">
        <v>0.96</v>
      </c>
      <c r="S318" s="334">
        <v>0.92</v>
      </c>
      <c r="T318" s="334">
        <v>0.87</v>
      </c>
      <c r="V318" s="333">
        <v>280</v>
      </c>
      <c r="W318" s="334">
        <v>1</v>
      </c>
      <c r="X318" s="334">
        <v>1</v>
      </c>
      <c r="Y318" s="334">
        <v>0.97</v>
      </c>
      <c r="Z318" s="334">
        <v>0.93</v>
      </c>
      <c r="AA318" s="334">
        <v>0.89</v>
      </c>
      <c r="AC318" s="333">
        <v>280</v>
      </c>
      <c r="AD318" s="334">
        <v>1</v>
      </c>
      <c r="AE318" s="334">
        <v>1</v>
      </c>
      <c r="AF318" s="334">
        <v>0.99</v>
      </c>
      <c r="AG318" s="334">
        <v>0.96</v>
      </c>
      <c r="AH318" s="334">
        <v>0.92</v>
      </c>
      <c r="AJ318" s="333">
        <v>280</v>
      </c>
      <c r="AK318" s="334">
        <v>1</v>
      </c>
      <c r="AL318" s="334">
        <v>1.01</v>
      </c>
      <c r="AM318" s="334">
        <v>1.01</v>
      </c>
      <c r="AN318" s="334">
        <v>0.99</v>
      </c>
      <c r="AO318" s="334">
        <v>0.96</v>
      </c>
      <c r="AQ318" s="333">
        <v>280</v>
      </c>
      <c r="AR318" s="334">
        <v>1</v>
      </c>
      <c r="AS318" s="334">
        <v>1.03</v>
      </c>
      <c r="AT318" s="334">
        <v>1.03</v>
      </c>
      <c r="AU318" s="334">
        <v>1.02</v>
      </c>
      <c r="AV318" s="334">
        <v>0.99</v>
      </c>
      <c r="AX318" s="333">
        <v>280</v>
      </c>
      <c r="AY318" s="334">
        <v>1</v>
      </c>
      <c r="AZ318" s="334">
        <v>1.03</v>
      </c>
      <c r="BA318" s="334">
        <v>1.04</v>
      </c>
      <c r="BB318" s="334">
        <v>1.02</v>
      </c>
      <c r="BC318" s="334">
        <v>1</v>
      </c>
      <c r="BE318" s="333">
        <v>280</v>
      </c>
      <c r="BF318" s="334">
        <v>1</v>
      </c>
      <c r="BG318" s="334">
        <v>1.03</v>
      </c>
      <c r="BH318" s="334">
        <v>1.04</v>
      </c>
      <c r="BI318" s="334">
        <v>1.02</v>
      </c>
      <c r="BJ318" s="334">
        <v>1</v>
      </c>
      <c r="BL318" s="333">
        <v>280</v>
      </c>
      <c r="BM318" s="334">
        <v>1</v>
      </c>
      <c r="BN318" s="334">
        <v>1.02</v>
      </c>
      <c r="BO318" s="334">
        <v>1.02</v>
      </c>
      <c r="BP318" s="334">
        <v>1</v>
      </c>
      <c r="BQ318" s="334">
        <v>0.98</v>
      </c>
      <c r="BS318" s="333">
        <v>280</v>
      </c>
      <c r="BT318" s="334">
        <v>1</v>
      </c>
      <c r="BU318" s="334">
        <v>1.02</v>
      </c>
      <c r="BV318" s="334">
        <v>1.01</v>
      </c>
      <c r="BW318" s="334">
        <v>0.99</v>
      </c>
      <c r="BX318" s="334">
        <v>0.96</v>
      </c>
      <c r="BZ318" s="333">
        <v>280</v>
      </c>
      <c r="CA318" s="334">
        <v>1</v>
      </c>
      <c r="CB318" s="334">
        <v>1</v>
      </c>
      <c r="CC318" s="334">
        <v>0.99</v>
      </c>
      <c r="CD318" s="334">
        <v>0.96</v>
      </c>
      <c r="CE318" s="334">
        <v>0.92</v>
      </c>
      <c r="CG318" s="333">
        <v>280</v>
      </c>
      <c r="CH318" s="334">
        <v>1</v>
      </c>
      <c r="CI318" s="334">
        <v>1</v>
      </c>
      <c r="CJ318" s="334">
        <v>0.98</v>
      </c>
      <c r="CK318" s="334">
        <v>0.93</v>
      </c>
      <c r="CL318" s="334">
        <v>0.89</v>
      </c>
      <c r="CN318" s="333">
        <v>280</v>
      </c>
      <c r="CO318" s="334">
        <v>1</v>
      </c>
      <c r="CP318" s="334">
        <v>0.99</v>
      </c>
      <c r="CQ318" s="334">
        <v>0.96</v>
      </c>
      <c r="CR318" s="334">
        <v>0.92</v>
      </c>
      <c r="CS318" s="334">
        <v>0.87</v>
      </c>
    </row>
    <row r="319" spans="3:97" x14ac:dyDescent="0.25">
      <c r="C319" s="333">
        <v>30</v>
      </c>
      <c r="D319" s="334">
        <v>0.96</v>
      </c>
      <c r="E319" s="334">
        <v>0.99</v>
      </c>
      <c r="F319" s="335">
        <v>1</v>
      </c>
      <c r="G319" s="334">
        <v>0.98</v>
      </c>
      <c r="H319" s="334">
        <v>0.94</v>
      </c>
      <c r="I319" s="334">
        <v>0.88</v>
      </c>
      <c r="J319" s="334">
        <v>0.8</v>
      </c>
      <c r="K319" s="334">
        <v>0.71</v>
      </c>
      <c r="L319" s="334">
        <v>0.61</v>
      </c>
      <c r="M319" s="334">
        <v>0.51</v>
      </c>
      <c r="O319" s="333">
        <v>290</v>
      </c>
      <c r="P319" s="334">
        <v>1</v>
      </c>
      <c r="Q319" s="334">
        <v>0.98</v>
      </c>
      <c r="R319" s="334">
        <v>0.95</v>
      </c>
      <c r="S319" s="334">
        <v>0.9</v>
      </c>
      <c r="T319" s="334">
        <v>0.85</v>
      </c>
      <c r="V319" s="333">
        <v>290</v>
      </c>
      <c r="W319" s="334">
        <v>1</v>
      </c>
      <c r="X319" s="334">
        <v>1</v>
      </c>
      <c r="Y319" s="334">
        <v>0.97</v>
      </c>
      <c r="Z319" s="334">
        <v>0.93</v>
      </c>
      <c r="AA319" s="334">
        <v>0.88</v>
      </c>
      <c r="AC319" s="333">
        <v>290</v>
      </c>
      <c r="AD319" s="334">
        <v>1</v>
      </c>
      <c r="AE319" s="334">
        <v>1</v>
      </c>
      <c r="AF319" s="334">
        <v>1</v>
      </c>
      <c r="AG319" s="334">
        <v>0.97</v>
      </c>
      <c r="AH319" s="334">
        <v>0.93</v>
      </c>
      <c r="AJ319" s="333">
        <v>290</v>
      </c>
      <c r="AK319" s="334">
        <v>1</v>
      </c>
      <c r="AL319" s="334">
        <v>1.03</v>
      </c>
      <c r="AM319" s="334">
        <v>1.03</v>
      </c>
      <c r="AN319" s="334">
        <v>1.02</v>
      </c>
      <c r="AO319" s="334">
        <v>0.99</v>
      </c>
      <c r="AQ319" s="333">
        <v>290</v>
      </c>
      <c r="AR319" s="334">
        <v>1</v>
      </c>
      <c r="AS319" s="334">
        <v>1.05</v>
      </c>
      <c r="AT319" s="334">
        <v>1.07</v>
      </c>
      <c r="AU319" s="334">
        <v>1.07</v>
      </c>
      <c r="AV319" s="334">
        <v>1.05</v>
      </c>
      <c r="AX319" s="333">
        <v>290</v>
      </c>
      <c r="AY319" s="334">
        <v>1</v>
      </c>
      <c r="AZ319" s="334">
        <v>1.05</v>
      </c>
      <c r="BA319" s="334">
        <v>1.08</v>
      </c>
      <c r="BB319" s="334">
        <v>1.08</v>
      </c>
      <c r="BC319" s="334">
        <v>1.07</v>
      </c>
      <c r="BE319" s="333">
        <v>290</v>
      </c>
      <c r="BF319" s="334">
        <v>1</v>
      </c>
      <c r="BG319" s="334">
        <v>1.05</v>
      </c>
      <c r="BH319" s="334">
        <v>1.08</v>
      </c>
      <c r="BI319" s="334">
        <v>1.08</v>
      </c>
      <c r="BJ319" s="334">
        <v>1.07</v>
      </c>
      <c r="BL319" s="333">
        <v>290</v>
      </c>
      <c r="BM319" s="334">
        <v>1</v>
      </c>
      <c r="BN319" s="334">
        <v>1.03</v>
      </c>
      <c r="BO319" s="334">
        <v>1.05</v>
      </c>
      <c r="BP319" s="334">
        <v>1.04</v>
      </c>
      <c r="BQ319" s="334">
        <v>1.02</v>
      </c>
      <c r="BS319" s="333">
        <v>290</v>
      </c>
      <c r="BT319" s="334">
        <v>1</v>
      </c>
      <c r="BU319" s="334">
        <v>1.02</v>
      </c>
      <c r="BV319" s="334">
        <v>1.02</v>
      </c>
      <c r="BW319" s="334">
        <v>1.01</v>
      </c>
      <c r="BX319" s="334">
        <v>0.97</v>
      </c>
      <c r="BZ319" s="333">
        <v>290</v>
      </c>
      <c r="CA319" s="334">
        <v>1</v>
      </c>
      <c r="CB319" s="334">
        <v>1</v>
      </c>
      <c r="CC319" s="334">
        <v>0.99</v>
      </c>
      <c r="CD319" s="334">
        <v>0.96</v>
      </c>
      <c r="CE319" s="334">
        <v>0.91</v>
      </c>
      <c r="CG319" s="333">
        <v>290</v>
      </c>
      <c r="CH319" s="334">
        <v>1</v>
      </c>
      <c r="CI319" s="334">
        <v>0.99</v>
      </c>
      <c r="CJ319" s="334">
        <v>0.96</v>
      </c>
      <c r="CK319" s="334">
        <v>0.92</v>
      </c>
      <c r="CL319" s="334">
        <v>0.87</v>
      </c>
      <c r="CN319" s="333">
        <v>290</v>
      </c>
      <c r="CO319" s="334">
        <v>1</v>
      </c>
      <c r="CP319" s="334">
        <v>0.98</v>
      </c>
      <c r="CQ319" s="334">
        <v>0.95</v>
      </c>
      <c r="CR319" s="334">
        <v>0.9</v>
      </c>
      <c r="CS319" s="334">
        <v>0.85</v>
      </c>
    </row>
    <row r="320" spans="3:97" x14ac:dyDescent="0.25">
      <c r="C320" s="333">
        <v>40</v>
      </c>
      <c r="D320" s="334">
        <v>0.96</v>
      </c>
      <c r="E320" s="334">
        <v>0.99</v>
      </c>
      <c r="F320" s="335">
        <v>0.99</v>
      </c>
      <c r="G320" s="334">
        <v>0.97</v>
      </c>
      <c r="H320" s="334">
        <v>0.93</v>
      </c>
      <c r="I320" s="334">
        <v>0.88</v>
      </c>
      <c r="J320" s="334">
        <v>0.8</v>
      </c>
      <c r="K320" s="334">
        <v>0.71</v>
      </c>
      <c r="L320" s="334">
        <v>0.62</v>
      </c>
      <c r="M320" s="334">
        <v>0.53</v>
      </c>
      <c r="O320" s="333">
        <v>300</v>
      </c>
      <c r="P320" s="334">
        <v>1</v>
      </c>
      <c r="Q320" s="334">
        <v>0.98</v>
      </c>
      <c r="R320" s="335">
        <v>0.94</v>
      </c>
      <c r="S320" s="334">
        <v>0.89</v>
      </c>
      <c r="T320" s="334">
        <v>0.83</v>
      </c>
      <c r="V320" s="333">
        <v>300</v>
      </c>
      <c r="W320" s="334">
        <v>1</v>
      </c>
      <c r="X320" s="334">
        <v>1</v>
      </c>
      <c r="Y320" s="335">
        <v>0.97</v>
      </c>
      <c r="Z320" s="334">
        <v>0.92</v>
      </c>
      <c r="AA320" s="334">
        <v>0.87</v>
      </c>
      <c r="AC320" s="333">
        <v>300</v>
      </c>
      <c r="AD320" s="334">
        <v>1</v>
      </c>
      <c r="AE320" s="334">
        <v>1.01</v>
      </c>
      <c r="AF320" s="335">
        <v>1</v>
      </c>
      <c r="AG320" s="334">
        <v>0.98</v>
      </c>
      <c r="AH320" s="334">
        <v>0.93</v>
      </c>
      <c r="AJ320" s="333">
        <v>300</v>
      </c>
      <c r="AK320" s="334">
        <v>1</v>
      </c>
      <c r="AL320" s="334">
        <v>1.04</v>
      </c>
      <c r="AM320" s="335">
        <v>1.05</v>
      </c>
      <c r="AN320" s="334">
        <v>1.05</v>
      </c>
      <c r="AO320" s="334">
        <v>1.02</v>
      </c>
      <c r="AQ320" s="333">
        <v>300</v>
      </c>
      <c r="AR320" s="334">
        <v>1</v>
      </c>
      <c r="AS320" s="334">
        <v>1.06</v>
      </c>
      <c r="AT320" s="335">
        <v>1.1000000000000001</v>
      </c>
      <c r="AU320" s="334">
        <v>1.1100000000000001</v>
      </c>
      <c r="AV320" s="334">
        <v>1.1000000000000001</v>
      </c>
      <c r="AX320" s="333">
        <v>300</v>
      </c>
      <c r="AY320" s="334">
        <v>1</v>
      </c>
      <c r="AZ320" s="334">
        <v>1.07</v>
      </c>
      <c r="BA320" s="335">
        <v>1.1100000000000001</v>
      </c>
      <c r="BB320" s="334">
        <v>1.1399999999999999</v>
      </c>
      <c r="BC320" s="334">
        <v>1.1299999999999999</v>
      </c>
      <c r="BE320" s="333">
        <v>300</v>
      </c>
      <c r="BF320" s="334">
        <v>1</v>
      </c>
      <c r="BG320" s="334">
        <v>1.07</v>
      </c>
      <c r="BH320" s="335">
        <v>1.1100000000000001</v>
      </c>
      <c r="BI320" s="334">
        <v>1.1299999999999999</v>
      </c>
      <c r="BJ320" s="334">
        <v>1.1200000000000001</v>
      </c>
      <c r="BL320" s="333">
        <v>300</v>
      </c>
      <c r="BM320" s="334">
        <v>1</v>
      </c>
      <c r="BN320" s="334">
        <v>1.05</v>
      </c>
      <c r="BO320" s="335">
        <v>1.07</v>
      </c>
      <c r="BP320" s="334">
        <v>1.08</v>
      </c>
      <c r="BQ320" s="334">
        <v>1.06</v>
      </c>
      <c r="BS320" s="333">
        <v>300</v>
      </c>
      <c r="BT320" s="334">
        <v>1</v>
      </c>
      <c r="BU320" s="334">
        <v>1.03</v>
      </c>
      <c r="BV320" s="335">
        <v>1.03</v>
      </c>
      <c r="BW320" s="334">
        <v>1.02</v>
      </c>
      <c r="BX320" s="334">
        <v>0.98</v>
      </c>
      <c r="BZ320" s="333">
        <v>300</v>
      </c>
      <c r="CA320" s="334">
        <v>1</v>
      </c>
      <c r="CB320" s="334">
        <v>1</v>
      </c>
      <c r="CC320" s="335">
        <v>0.99</v>
      </c>
      <c r="CD320" s="334">
        <v>0.96</v>
      </c>
      <c r="CE320" s="334">
        <v>0.91</v>
      </c>
      <c r="CG320" s="333">
        <v>300</v>
      </c>
      <c r="CH320" s="334">
        <v>1</v>
      </c>
      <c r="CI320" s="334">
        <v>0.99</v>
      </c>
      <c r="CJ320" s="335">
        <v>0.96</v>
      </c>
      <c r="CK320" s="334">
        <v>0.91</v>
      </c>
      <c r="CL320" s="334">
        <v>0.85</v>
      </c>
      <c r="CN320" s="333">
        <v>300</v>
      </c>
      <c r="CO320" s="334">
        <v>1</v>
      </c>
      <c r="CP320" s="334">
        <v>0.98</v>
      </c>
      <c r="CQ320" s="335">
        <v>0.93</v>
      </c>
      <c r="CR320" s="334">
        <v>0.89</v>
      </c>
      <c r="CS320" s="334">
        <v>0.82</v>
      </c>
    </row>
    <row r="321" spans="3:97" x14ac:dyDescent="0.25">
      <c r="C321" s="333">
        <v>50</v>
      </c>
      <c r="D321" s="334">
        <v>0.96</v>
      </c>
      <c r="E321" s="334">
        <v>0.98</v>
      </c>
      <c r="F321" s="335">
        <v>0.99</v>
      </c>
      <c r="G321" s="334">
        <v>0.96</v>
      </c>
      <c r="H321" s="334">
        <v>0.93</v>
      </c>
      <c r="I321" s="334">
        <v>0.87</v>
      </c>
      <c r="J321" s="334">
        <v>0.8</v>
      </c>
      <c r="K321" s="334">
        <v>0.72</v>
      </c>
      <c r="L321" s="334">
        <v>0.63</v>
      </c>
      <c r="M321" s="334">
        <v>0.55000000000000004</v>
      </c>
      <c r="O321" s="333">
        <v>310</v>
      </c>
      <c r="P321" s="334">
        <v>1</v>
      </c>
      <c r="Q321" s="334">
        <v>0.97</v>
      </c>
      <c r="R321" s="335">
        <v>0.93</v>
      </c>
      <c r="S321" s="334">
        <v>0.87</v>
      </c>
      <c r="T321" s="334">
        <v>0.81</v>
      </c>
      <c r="V321" s="333">
        <v>310</v>
      </c>
      <c r="W321" s="334">
        <v>1</v>
      </c>
      <c r="X321" s="334">
        <v>0.99</v>
      </c>
      <c r="Y321" s="335">
        <v>0.96</v>
      </c>
      <c r="Z321" s="334">
        <v>0.92</v>
      </c>
      <c r="AA321" s="334">
        <v>0.86</v>
      </c>
      <c r="AC321" s="333">
        <v>310</v>
      </c>
      <c r="AD321" s="334">
        <v>1</v>
      </c>
      <c r="AE321" s="334">
        <v>1.01</v>
      </c>
      <c r="AF321" s="335">
        <v>1</v>
      </c>
      <c r="AG321" s="334">
        <v>0.98</v>
      </c>
      <c r="AH321" s="334">
        <v>0.94</v>
      </c>
      <c r="AJ321" s="333">
        <v>310</v>
      </c>
      <c r="AK321" s="334">
        <v>1</v>
      </c>
      <c r="AL321" s="334">
        <v>1.05</v>
      </c>
      <c r="AM321" s="335">
        <v>1.07</v>
      </c>
      <c r="AN321" s="334">
        <v>1.07</v>
      </c>
      <c r="AO321" s="334">
        <v>1.05</v>
      </c>
      <c r="AQ321" s="333">
        <v>310</v>
      </c>
      <c r="AR321" s="334">
        <v>1</v>
      </c>
      <c r="AS321" s="334">
        <v>1.08</v>
      </c>
      <c r="AT321" s="335">
        <v>1.1299999999999999</v>
      </c>
      <c r="AU321" s="334">
        <v>1.1499999999999999</v>
      </c>
      <c r="AV321" s="334">
        <v>1.1499999999999999</v>
      </c>
      <c r="AX321" s="333">
        <v>310</v>
      </c>
      <c r="AY321" s="334">
        <v>1</v>
      </c>
      <c r="AZ321" s="334">
        <v>1.0900000000000001</v>
      </c>
      <c r="BA321" s="335">
        <v>1.1499999999999999</v>
      </c>
      <c r="BB321" s="334">
        <v>1.19</v>
      </c>
      <c r="BC321" s="334">
        <v>1.2</v>
      </c>
      <c r="BE321" s="333">
        <v>310</v>
      </c>
      <c r="BF321" s="334">
        <v>1</v>
      </c>
      <c r="BG321" s="334">
        <v>1.0900000000000001</v>
      </c>
      <c r="BH321" s="335">
        <v>1.1499999999999999</v>
      </c>
      <c r="BI321" s="334">
        <v>1.18</v>
      </c>
      <c r="BJ321" s="334">
        <v>1.18</v>
      </c>
      <c r="BL321" s="333">
        <v>310</v>
      </c>
      <c r="BM321" s="334">
        <v>1</v>
      </c>
      <c r="BN321" s="334">
        <v>1.06</v>
      </c>
      <c r="BO321" s="335">
        <v>1.0900000000000001</v>
      </c>
      <c r="BP321" s="334">
        <v>1.1100000000000001</v>
      </c>
      <c r="BQ321" s="334">
        <v>1.0900000000000001</v>
      </c>
      <c r="BS321" s="333">
        <v>310</v>
      </c>
      <c r="BT321" s="334">
        <v>1</v>
      </c>
      <c r="BU321" s="334">
        <v>1.04</v>
      </c>
      <c r="BV321" s="335">
        <v>1.04</v>
      </c>
      <c r="BW321" s="334">
        <v>1.03</v>
      </c>
      <c r="BX321" s="334">
        <v>1</v>
      </c>
      <c r="BZ321" s="333">
        <v>310</v>
      </c>
      <c r="CA321" s="334">
        <v>1</v>
      </c>
      <c r="CB321" s="334">
        <v>1</v>
      </c>
      <c r="CC321" s="335">
        <v>0.99</v>
      </c>
      <c r="CD321" s="334">
        <v>0.95</v>
      </c>
      <c r="CE321" s="334">
        <v>0.9</v>
      </c>
      <c r="CG321" s="333">
        <v>310</v>
      </c>
      <c r="CH321" s="334">
        <v>1</v>
      </c>
      <c r="CI321" s="334">
        <v>0.98</v>
      </c>
      <c r="CJ321" s="335">
        <v>0.94</v>
      </c>
      <c r="CK321" s="334">
        <v>0.89</v>
      </c>
      <c r="CL321" s="334">
        <v>0.83</v>
      </c>
      <c r="CN321" s="333">
        <v>310</v>
      </c>
      <c r="CO321" s="334">
        <v>1</v>
      </c>
      <c r="CP321" s="334">
        <v>0.97</v>
      </c>
      <c r="CQ321" s="335">
        <v>0.92</v>
      </c>
      <c r="CR321" s="334">
        <v>0.87</v>
      </c>
      <c r="CS321" s="334">
        <v>0.79</v>
      </c>
    </row>
    <row r="322" spans="3:97" x14ac:dyDescent="0.25">
      <c r="C322" s="333">
        <v>60</v>
      </c>
      <c r="D322" s="334">
        <v>0.96</v>
      </c>
      <c r="E322" s="334">
        <v>0.98</v>
      </c>
      <c r="F322" s="335">
        <v>0.98</v>
      </c>
      <c r="G322" s="334">
        <v>0.96</v>
      </c>
      <c r="H322" s="334">
        <v>0.92</v>
      </c>
      <c r="I322" s="334">
        <v>0.86</v>
      </c>
      <c r="J322" s="334">
        <v>0.8</v>
      </c>
      <c r="K322" s="334">
        <v>0.72</v>
      </c>
      <c r="L322" s="334">
        <v>0.64</v>
      </c>
      <c r="M322" s="334">
        <v>0.56000000000000005</v>
      </c>
      <c r="O322" s="333">
        <v>320</v>
      </c>
      <c r="P322" s="334">
        <v>1</v>
      </c>
      <c r="Q322" s="334">
        <v>0.97</v>
      </c>
      <c r="R322" s="335">
        <v>0.92</v>
      </c>
      <c r="S322" s="334">
        <v>0.86</v>
      </c>
      <c r="T322" s="334">
        <v>0.79</v>
      </c>
      <c r="V322" s="333">
        <v>320</v>
      </c>
      <c r="W322" s="334">
        <v>1</v>
      </c>
      <c r="X322" s="334">
        <v>0.99</v>
      </c>
      <c r="Y322" s="335">
        <v>0.96</v>
      </c>
      <c r="Z322" s="334">
        <v>0.91</v>
      </c>
      <c r="AA322" s="334">
        <v>0.84</v>
      </c>
      <c r="AC322" s="333">
        <v>320</v>
      </c>
      <c r="AD322" s="334">
        <v>1</v>
      </c>
      <c r="AE322" s="334">
        <v>1.01</v>
      </c>
      <c r="AF322" s="335">
        <v>1.01</v>
      </c>
      <c r="AG322" s="334">
        <v>0.99</v>
      </c>
      <c r="AH322" s="334">
        <v>0.94</v>
      </c>
      <c r="AJ322" s="333">
        <v>320</v>
      </c>
      <c r="AK322" s="334">
        <v>1</v>
      </c>
      <c r="AL322" s="334">
        <v>1.06</v>
      </c>
      <c r="AM322" s="335">
        <v>1.0900000000000001</v>
      </c>
      <c r="AN322" s="334">
        <v>1.0900000000000001</v>
      </c>
      <c r="AO322" s="334">
        <v>1.07</v>
      </c>
      <c r="AQ322" s="333">
        <v>320</v>
      </c>
      <c r="AR322" s="334">
        <v>1</v>
      </c>
      <c r="AS322" s="334">
        <v>1.0900000000000001</v>
      </c>
      <c r="AT322" s="335">
        <v>1.1499999999999999</v>
      </c>
      <c r="AU322" s="334">
        <v>1.19</v>
      </c>
      <c r="AV322" s="334">
        <v>1.19</v>
      </c>
      <c r="AX322" s="333">
        <v>320</v>
      </c>
      <c r="AY322" s="334">
        <v>1</v>
      </c>
      <c r="AZ322" s="334">
        <v>1.1000000000000001</v>
      </c>
      <c r="BA322" s="335">
        <v>1.18</v>
      </c>
      <c r="BB322" s="334">
        <v>1.23</v>
      </c>
      <c r="BC322" s="334">
        <v>1.25</v>
      </c>
      <c r="BE322" s="333">
        <v>320</v>
      </c>
      <c r="BF322" s="334">
        <v>1</v>
      </c>
      <c r="BG322" s="334">
        <v>1.1000000000000001</v>
      </c>
      <c r="BH322" s="335">
        <v>1.18</v>
      </c>
      <c r="BI322" s="334">
        <v>1.22</v>
      </c>
      <c r="BJ322" s="334">
        <v>1.23</v>
      </c>
      <c r="BL322" s="333">
        <v>320</v>
      </c>
      <c r="BM322" s="334">
        <v>1</v>
      </c>
      <c r="BN322" s="334">
        <v>1.07</v>
      </c>
      <c r="BO322" s="335">
        <v>1.1200000000000001</v>
      </c>
      <c r="BP322" s="334">
        <v>1.1299999999999999</v>
      </c>
      <c r="BQ322" s="334">
        <v>1.1299999999999999</v>
      </c>
      <c r="BS322" s="333">
        <v>320</v>
      </c>
      <c r="BT322" s="334">
        <v>1</v>
      </c>
      <c r="BU322" s="334">
        <v>1.04</v>
      </c>
      <c r="BV322" s="335">
        <v>1.05</v>
      </c>
      <c r="BW322" s="334">
        <v>1.04</v>
      </c>
      <c r="BX322" s="334">
        <v>1</v>
      </c>
      <c r="BZ322" s="333">
        <v>320</v>
      </c>
      <c r="CA322" s="334">
        <v>1</v>
      </c>
      <c r="CB322" s="334">
        <v>1</v>
      </c>
      <c r="CC322" s="335">
        <v>0.98</v>
      </c>
      <c r="CD322" s="334">
        <v>0.95</v>
      </c>
      <c r="CE322" s="334">
        <v>0.89</v>
      </c>
      <c r="CG322" s="333">
        <v>320</v>
      </c>
      <c r="CH322" s="334">
        <v>1</v>
      </c>
      <c r="CI322" s="334">
        <v>0.98</v>
      </c>
      <c r="CJ322" s="335">
        <v>0.93</v>
      </c>
      <c r="CK322" s="334">
        <v>0.87</v>
      </c>
      <c r="CL322" s="334">
        <v>0.8</v>
      </c>
      <c r="CN322" s="333">
        <v>320</v>
      </c>
      <c r="CO322" s="334">
        <v>1</v>
      </c>
      <c r="CP322" s="334">
        <v>0.96</v>
      </c>
      <c r="CQ322" s="335">
        <v>0.91</v>
      </c>
      <c r="CR322" s="334">
        <v>0.85</v>
      </c>
      <c r="CS322" s="334">
        <v>0.77</v>
      </c>
    </row>
    <row r="323" spans="3:97" x14ac:dyDescent="0.25">
      <c r="C323" s="333">
        <v>70</v>
      </c>
      <c r="D323" s="334">
        <v>0.96</v>
      </c>
      <c r="E323" s="334">
        <v>0.97</v>
      </c>
      <c r="F323" s="335">
        <v>0.97</v>
      </c>
      <c r="G323" s="334">
        <v>0.94</v>
      </c>
      <c r="H323" s="334">
        <v>0.91</v>
      </c>
      <c r="I323" s="334">
        <v>0.85</v>
      </c>
      <c r="J323" s="334">
        <v>0.79</v>
      </c>
      <c r="K323" s="334">
        <v>0.72</v>
      </c>
      <c r="L323" s="334">
        <v>0.64</v>
      </c>
      <c r="M323" s="334">
        <v>0.56000000000000005</v>
      </c>
      <c r="O323" s="333">
        <v>330</v>
      </c>
      <c r="P323" s="334">
        <v>1</v>
      </c>
      <c r="Q323" s="334">
        <v>0.97</v>
      </c>
      <c r="R323" s="335">
        <v>0.92</v>
      </c>
      <c r="S323" s="334">
        <v>0.85</v>
      </c>
      <c r="T323" s="334">
        <v>0.77</v>
      </c>
      <c r="V323" s="333">
        <v>330</v>
      </c>
      <c r="W323" s="334">
        <v>1</v>
      </c>
      <c r="X323" s="334">
        <v>0.99</v>
      </c>
      <c r="Y323" s="335">
        <v>0.96</v>
      </c>
      <c r="Z323" s="334">
        <v>0.91</v>
      </c>
      <c r="AA323" s="334">
        <v>0.84</v>
      </c>
      <c r="AC323" s="333">
        <v>330</v>
      </c>
      <c r="AD323" s="334">
        <v>1</v>
      </c>
      <c r="AE323" s="334">
        <v>1.02</v>
      </c>
      <c r="AF323" s="335">
        <v>1.01</v>
      </c>
      <c r="AG323" s="334">
        <v>0.99</v>
      </c>
      <c r="AH323" s="334">
        <v>0.94</v>
      </c>
      <c r="AJ323" s="333">
        <v>330</v>
      </c>
      <c r="AK323" s="334">
        <v>1</v>
      </c>
      <c r="AL323" s="334">
        <v>1.06</v>
      </c>
      <c r="AM323" s="335">
        <v>1.1000000000000001</v>
      </c>
      <c r="AN323" s="334">
        <v>1.1100000000000001</v>
      </c>
      <c r="AO323" s="334">
        <v>1.0900000000000001</v>
      </c>
      <c r="AQ323" s="333">
        <v>330</v>
      </c>
      <c r="AR323" s="334">
        <v>1</v>
      </c>
      <c r="AS323" s="334">
        <v>1.1000000000000001</v>
      </c>
      <c r="AT323" s="335">
        <v>1.18</v>
      </c>
      <c r="AU323" s="334">
        <v>1.22</v>
      </c>
      <c r="AV323" s="334">
        <v>1.23</v>
      </c>
      <c r="AX323" s="333">
        <v>330</v>
      </c>
      <c r="AY323" s="334">
        <v>1</v>
      </c>
      <c r="AZ323" s="334">
        <v>1.1200000000000001</v>
      </c>
      <c r="BA323" s="335">
        <v>1.21</v>
      </c>
      <c r="BB323" s="334">
        <v>1.27</v>
      </c>
      <c r="BC323" s="334">
        <v>1.3</v>
      </c>
      <c r="BE323" s="333">
        <v>330</v>
      </c>
      <c r="BF323" s="334">
        <v>1</v>
      </c>
      <c r="BG323" s="334">
        <v>1.1100000000000001</v>
      </c>
      <c r="BH323" s="335">
        <v>1.2</v>
      </c>
      <c r="BI323" s="334">
        <v>1.25</v>
      </c>
      <c r="BJ323" s="334">
        <v>1.27</v>
      </c>
      <c r="BL323" s="333">
        <v>330</v>
      </c>
      <c r="BM323" s="334">
        <v>1</v>
      </c>
      <c r="BN323" s="334">
        <v>1.08</v>
      </c>
      <c r="BO323" s="335">
        <v>1.1299999999999999</v>
      </c>
      <c r="BP323" s="334">
        <v>1.1599999999999999</v>
      </c>
      <c r="BQ323" s="334">
        <v>1.1499999999999999</v>
      </c>
      <c r="BS323" s="333">
        <v>330</v>
      </c>
      <c r="BT323" s="334">
        <v>1</v>
      </c>
      <c r="BU323" s="334">
        <v>1.04</v>
      </c>
      <c r="BV323" s="335">
        <v>1.06</v>
      </c>
      <c r="BW323" s="334">
        <v>1.05</v>
      </c>
      <c r="BX323" s="334">
        <v>1.01</v>
      </c>
      <c r="BZ323" s="333">
        <v>330</v>
      </c>
      <c r="CA323" s="334">
        <v>1</v>
      </c>
      <c r="CB323" s="334">
        <v>1</v>
      </c>
      <c r="CC323" s="335">
        <v>0.98</v>
      </c>
      <c r="CD323" s="334">
        <v>0.94</v>
      </c>
      <c r="CE323" s="334">
        <v>0.88</v>
      </c>
      <c r="CG323" s="333">
        <v>330</v>
      </c>
      <c r="CH323" s="334">
        <v>1</v>
      </c>
      <c r="CI323" s="334">
        <v>0.98</v>
      </c>
      <c r="CJ323" s="335">
        <v>0.93</v>
      </c>
      <c r="CK323" s="334">
        <v>0.86</v>
      </c>
      <c r="CL323" s="334">
        <v>0.78</v>
      </c>
      <c r="CN323" s="333">
        <v>330</v>
      </c>
      <c r="CO323" s="334">
        <v>1</v>
      </c>
      <c r="CP323" s="334">
        <v>0.96</v>
      </c>
      <c r="CQ323" s="335">
        <v>0.9</v>
      </c>
      <c r="CR323" s="334">
        <v>0.83</v>
      </c>
      <c r="CS323" s="334">
        <v>0.75</v>
      </c>
    </row>
    <row r="324" spans="3:97" x14ac:dyDescent="0.25">
      <c r="C324" s="333">
        <v>80</v>
      </c>
      <c r="D324" s="334">
        <v>0.96</v>
      </c>
      <c r="E324" s="334">
        <v>0.97</v>
      </c>
      <c r="F324" s="335">
        <v>0.96</v>
      </c>
      <c r="G324" s="334">
        <v>0.93</v>
      </c>
      <c r="H324" s="334">
        <v>0.89</v>
      </c>
      <c r="I324" s="334">
        <v>0.84</v>
      </c>
      <c r="J324" s="334">
        <v>0.78</v>
      </c>
      <c r="K324" s="334">
        <v>0.71</v>
      </c>
      <c r="L324" s="334">
        <v>0.63</v>
      </c>
      <c r="M324" s="334">
        <v>0.56000000000000005</v>
      </c>
      <c r="O324" s="333">
        <v>340</v>
      </c>
      <c r="P324" s="334">
        <v>1</v>
      </c>
      <c r="Q324" s="334">
        <v>0.97</v>
      </c>
      <c r="R324" s="335">
        <v>0.91</v>
      </c>
      <c r="S324" s="334">
        <v>0.84</v>
      </c>
      <c r="T324" s="334">
        <v>0.76</v>
      </c>
      <c r="V324" s="333">
        <v>340</v>
      </c>
      <c r="W324" s="334">
        <v>1</v>
      </c>
      <c r="X324" s="334">
        <v>0.99</v>
      </c>
      <c r="Y324" s="335">
        <v>0.96</v>
      </c>
      <c r="Z324" s="334">
        <v>0.9</v>
      </c>
      <c r="AA324" s="334">
        <v>0.83</v>
      </c>
      <c r="AC324" s="333">
        <v>340</v>
      </c>
      <c r="AD324" s="334">
        <v>1</v>
      </c>
      <c r="AE324" s="334">
        <v>1.02</v>
      </c>
      <c r="AF324" s="335">
        <v>1.02</v>
      </c>
      <c r="AG324" s="334">
        <v>1</v>
      </c>
      <c r="AH324" s="334">
        <v>0.94</v>
      </c>
      <c r="AJ324" s="333">
        <v>340</v>
      </c>
      <c r="AK324" s="334">
        <v>1</v>
      </c>
      <c r="AL324" s="334">
        <v>1.07</v>
      </c>
      <c r="AM324" s="335">
        <v>1.1100000000000001</v>
      </c>
      <c r="AN324" s="334">
        <v>1.1200000000000001</v>
      </c>
      <c r="AO324" s="334">
        <v>1.1100000000000001</v>
      </c>
      <c r="AQ324" s="333">
        <v>340</v>
      </c>
      <c r="AR324" s="334">
        <v>1</v>
      </c>
      <c r="AS324" s="334">
        <v>1.1100000000000001</v>
      </c>
      <c r="AT324" s="335">
        <v>1.19</v>
      </c>
      <c r="AU324" s="334">
        <v>1.24</v>
      </c>
      <c r="AV324" s="334">
        <v>1.26</v>
      </c>
      <c r="AX324" s="333">
        <v>340</v>
      </c>
      <c r="AY324" s="334">
        <v>1</v>
      </c>
      <c r="AZ324" s="334">
        <v>1.1299999999999999</v>
      </c>
      <c r="BA324" s="335">
        <v>1.23</v>
      </c>
      <c r="BB324" s="334">
        <v>1.3</v>
      </c>
      <c r="BC324" s="334">
        <v>1.33</v>
      </c>
      <c r="BE324" s="333">
        <v>340</v>
      </c>
      <c r="BF324" s="334">
        <v>1</v>
      </c>
      <c r="BG324" s="334">
        <v>1.1200000000000001</v>
      </c>
      <c r="BH324" s="335">
        <v>1.22</v>
      </c>
      <c r="BI324" s="334">
        <v>1.28</v>
      </c>
      <c r="BJ324" s="334">
        <v>1.31</v>
      </c>
      <c r="BL324" s="333">
        <v>340</v>
      </c>
      <c r="BM324" s="334">
        <v>1</v>
      </c>
      <c r="BN324" s="334">
        <v>1.0900000000000001</v>
      </c>
      <c r="BO324" s="335">
        <v>1.1399999999999999</v>
      </c>
      <c r="BP324" s="334">
        <v>1.17</v>
      </c>
      <c r="BQ324" s="334">
        <v>1.17</v>
      </c>
      <c r="BS324" s="333">
        <v>340</v>
      </c>
      <c r="BT324" s="334">
        <v>1</v>
      </c>
      <c r="BU324" s="334">
        <v>1.04</v>
      </c>
      <c r="BV324" s="335">
        <v>1.06</v>
      </c>
      <c r="BW324" s="334">
        <v>1.05</v>
      </c>
      <c r="BX324" s="334">
        <v>1.02</v>
      </c>
      <c r="BZ324" s="333">
        <v>340</v>
      </c>
      <c r="CA324" s="334">
        <v>1</v>
      </c>
      <c r="CB324" s="334">
        <v>1</v>
      </c>
      <c r="CC324" s="335">
        <v>0.98</v>
      </c>
      <c r="CD324" s="334">
        <v>0.93</v>
      </c>
      <c r="CE324" s="334">
        <v>0.87</v>
      </c>
      <c r="CG324" s="333">
        <v>340</v>
      </c>
      <c r="CH324" s="334">
        <v>1</v>
      </c>
      <c r="CI324" s="334">
        <v>0.97</v>
      </c>
      <c r="CJ324" s="335">
        <v>0.92</v>
      </c>
      <c r="CK324" s="334">
        <v>0.85</v>
      </c>
      <c r="CL324" s="334">
        <v>0.76</v>
      </c>
      <c r="CN324" s="333">
        <v>340</v>
      </c>
      <c r="CO324" s="334">
        <v>1</v>
      </c>
      <c r="CP324" s="334">
        <v>0.96</v>
      </c>
      <c r="CQ324" s="335">
        <v>0.9</v>
      </c>
      <c r="CR324" s="334">
        <v>0.82</v>
      </c>
      <c r="CS324" s="334">
        <v>0.74</v>
      </c>
    </row>
    <row r="325" spans="3:97" x14ac:dyDescent="0.25">
      <c r="C325" s="333">
        <v>90</v>
      </c>
      <c r="D325" s="334">
        <v>0.96</v>
      </c>
      <c r="E325" s="334">
        <v>0.96</v>
      </c>
      <c r="F325" s="335">
        <v>0.95</v>
      </c>
      <c r="G325" s="334">
        <v>0.92</v>
      </c>
      <c r="H325" s="334">
        <v>0.87</v>
      </c>
      <c r="I325" s="334">
        <v>0.82</v>
      </c>
      <c r="J325" s="334">
        <v>0.76</v>
      </c>
      <c r="K325" s="334">
        <v>0.69</v>
      </c>
      <c r="L325" s="334">
        <v>0.62</v>
      </c>
      <c r="M325" s="334">
        <v>0.55000000000000004</v>
      </c>
      <c r="O325" s="333">
        <v>350</v>
      </c>
      <c r="P325" s="334">
        <v>1</v>
      </c>
      <c r="Q325" s="334">
        <v>0.97</v>
      </c>
      <c r="R325" s="335">
        <v>0.91</v>
      </c>
      <c r="S325" s="334">
        <v>0.83</v>
      </c>
      <c r="T325" s="334">
        <v>0.75</v>
      </c>
      <c r="V325" s="333">
        <v>350</v>
      </c>
      <c r="W325" s="334">
        <v>1</v>
      </c>
      <c r="X325" s="334">
        <v>0.99</v>
      </c>
      <c r="Y325" s="335">
        <v>0.96</v>
      </c>
      <c r="Z325" s="334">
        <v>0.9</v>
      </c>
      <c r="AA325" s="334">
        <v>0.82</v>
      </c>
      <c r="AC325" s="333">
        <v>350</v>
      </c>
      <c r="AD325" s="334">
        <v>1</v>
      </c>
      <c r="AE325" s="334">
        <v>1.02</v>
      </c>
      <c r="AF325" s="335">
        <v>1.02</v>
      </c>
      <c r="AG325" s="334">
        <v>1</v>
      </c>
      <c r="AH325" s="334">
        <v>0.95</v>
      </c>
      <c r="AJ325" s="333">
        <v>350</v>
      </c>
      <c r="AK325" s="334">
        <v>1</v>
      </c>
      <c r="AL325" s="334">
        <v>1.07</v>
      </c>
      <c r="AM325" s="335">
        <v>1.1200000000000001</v>
      </c>
      <c r="AN325" s="334">
        <v>1.1299999999999999</v>
      </c>
      <c r="AO325" s="334">
        <v>1.1200000000000001</v>
      </c>
      <c r="AQ325" s="333">
        <v>350</v>
      </c>
      <c r="AR325" s="334">
        <v>1</v>
      </c>
      <c r="AS325" s="334">
        <v>1.1200000000000001</v>
      </c>
      <c r="AT325" s="335">
        <v>1.2</v>
      </c>
      <c r="AU325" s="334">
        <v>1.26</v>
      </c>
      <c r="AV325" s="334">
        <v>1.28</v>
      </c>
      <c r="AX325" s="333">
        <v>350</v>
      </c>
      <c r="AY325" s="334">
        <v>1</v>
      </c>
      <c r="AZ325" s="334">
        <v>1.1299999999999999</v>
      </c>
      <c r="BA325" s="335">
        <v>1.24</v>
      </c>
      <c r="BB325" s="334">
        <v>1.32</v>
      </c>
      <c r="BC325" s="334">
        <v>1.36</v>
      </c>
      <c r="BE325" s="333">
        <v>350</v>
      </c>
      <c r="BF325" s="334">
        <v>1</v>
      </c>
      <c r="BG325" s="334">
        <v>1.1299999999999999</v>
      </c>
      <c r="BH325" s="335">
        <v>1.23</v>
      </c>
      <c r="BI325" s="334">
        <v>1.29</v>
      </c>
      <c r="BJ325" s="334">
        <v>1.33</v>
      </c>
      <c r="BL325" s="333">
        <v>350</v>
      </c>
      <c r="BM325" s="334">
        <v>1</v>
      </c>
      <c r="BN325" s="334">
        <v>1.0900000000000001</v>
      </c>
      <c r="BO325" s="335">
        <v>1.1499999999999999</v>
      </c>
      <c r="BP325" s="334">
        <v>1.19</v>
      </c>
      <c r="BQ325" s="334">
        <v>1.19</v>
      </c>
      <c r="BS325" s="333">
        <v>350</v>
      </c>
      <c r="BT325" s="334">
        <v>1</v>
      </c>
      <c r="BU325" s="334">
        <v>1.04</v>
      </c>
      <c r="BV325" s="335">
        <v>1.06</v>
      </c>
      <c r="BW325" s="334">
        <v>1.05</v>
      </c>
      <c r="BX325" s="334">
        <v>1.02</v>
      </c>
      <c r="BZ325" s="333">
        <v>350</v>
      </c>
      <c r="CA325" s="334">
        <v>1</v>
      </c>
      <c r="CB325" s="334">
        <v>1</v>
      </c>
      <c r="CC325" s="335">
        <v>0.98</v>
      </c>
      <c r="CD325" s="334">
        <v>0.93</v>
      </c>
      <c r="CE325" s="334">
        <v>0.86</v>
      </c>
      <c r="CG325" s="333">
        <v>350</v>
      </c>
      <c r="CH325" s="334">
        <v>1</v>
      </c>
      <c r="CI325" s="334">
        <v>0.97</v>
      </c>
      <c r="CJ325" s="335">
        <v>0.92</v>
      </c>
      <c r="CK325" s="334">
        <v>0.85</v>
      </c>
      <c r="CL325" s="334">
        <v>0.76</v>
      </c>
      <c r="CN325" s="333">
        <v>350</v>
      </c>
      <c r="CO325" s="334">
        <v>1</v>
      </c>
      <c r="CP325" s="334">
        <v>0.96</v>
      </c>
      <c r="CQ325" s="335">
        <v>0.89</v>
      </c>
      <c r="CR325" s="334">
        <v>0.82</v>
      </c>
      <c r="CS325" s="334">
        <v>0.72</v>
      </c>
    </row>
    <row r="326" spans="3:97" x14ac:dyDescent="0.25">
      <c r="C326" s="333">
        <v>100</v>
      </c>
      <c r="D326" s="334">
        <v>0.96</v>
      </c>
      <c r="E326" s="334">
        <v>0.96</v>
      </c>
      <c r="F326" s="335">
        <v>0.93</v>
      </c>
      <c r="G326" s="334">
        <v>0.9</v>
      </c>
      <c r="H326" s="334">
        <v>0.85</v>
      </c>
      <c r="I326" s="334">
        <v>0.79</v>
      </c>
      <c r="J326" s="334">
        <v>0.73</v>
      </c>
      <c r="K326" s="334">
        <v>0.67</v>
      </c>
      <c r="L326" s="334">
        <v>0.59</v>
      </c>
      <c r="M326" s="334">
        <v>0.52</v>
      </c>
      <c r="O326" s="333">
        <v>0</v>
      </c>
      <c r="P326" s="334">
        <v>1</v>
      </c>
      <c r="Q326" s="334">
        <v>0.97</v>
      </c>
      <c r="R326" s="335">
        <v>0.91</v>
      </c>
      <c r="S326" s="334">
        <v>0.84</v>
      </c>
      <c r="T326" s="334">
        <v>0.75</v>
      </c>
      <c r="V326" s="333">
        <v>0</v>
      </c>
      <c r="W326" s="334">
        <v>1</v>
      </c>
      <c r="X326" s="334">
        <v>0.99</v>
      </c>
      <c r="Y326" s="335">
        <v>0.96</v>
      </c>
      <c r="Z326" s="334">
        <v>0.9</v>
      </c>
      <c r="AA326" s="334">
        <v>0.83</v>
      </c>
      <c r="AC326" s="333">
        <v>0</v>
      </c>
      <c r="AD326" s="334">
        <v>1</v>
      </c>
      <c r="AE326" s="334">
        <v>1.02</v>
      </c>
      <c r="AF326" s="335">
        <v>1.02</v>
      </c>
      <c r="AG326" s="334">
        <v>1</v>
      </c>
      <c r="AH326" s="334">
        <v>0.95</v>
      </c>
      <c r="AJ326" s="333">
        <v>0</v>
      </c>
      <c r="AK326" s="334">
        <v>1</v>
      </c>
      <c r="AL326" s="334">
        <v>1.08</v>
      </c>
      <c r="AM326" s="335">
        <v>1.1200000000000001</v>
      </c>
      <c r="AN326" s="334">
        <v>1.1399999999999999</v>
      </c>
      <c r="AO326" s="334">
        <v>1.1200000000000001</v>
      </c>
      <c r="AQ326" s="333">
        <v>0</v>
      </c>
      <c r="AR326" s="334">
        <v>1</v>
      </c>
      <c r="AS326" s="334">
        <v>1.1200000000000001</v>
      </c>
      <c r="AT326" s="335">
        <v>1.21</v>
      </c>
      <c r="AU326" s="334">
        <v>1.26</v>
      </c>
      <c r="AV326" s="334">
        <v>1.28</v>
      </c>
      <c r="AX326" s="333">
        <v>0</v>
      </c>
      <c r="AY326" s="334">
        <v>1</v>
      </c>
      <c r="AZ326" s="334">
        <v>1.1399999999999999</v>
      </c>
      <c r="BA326" s="335">
        <v>1.25</v>
      </c>
      <c r="BB326" s="334">
        <v>1.32</v>
      </c>
      <c r="BC326" s="334">
        <v>1.36</v>
      </c>
      <c r="BE326" s="333">
        <v>0</v>
      </c>
      <c r="BF326" s="334">
        <v>1</v>
      </c>
      <c r="BG326" s="334">
        <v>1.1299999999999999</v>
      </c>
      <c r="BH326" s="335">
        <v>1.23</v>
      </c>
      <c r="BI326" s="334">
        <v>1.3</v>
      </c>
      <c r="BJ326" s="334">
        <v>1.33</v>
      </c>
      <c r="BL326" s="333">
        <v>0</v>
      </c>
      <c r="BM326" s="334">
        <v>1</v>
      </c>
      <c r="BN326" s="334">
        <v>1.0900000000000001</v>
      </c>
      <c r="BO326" s="335">
        <v>1.1499999999999999</v>
      </c>
      <c r="BP326" s="334">
        <v>1.19</v>
      </c>
      <c r="BQ326" s="334">
        <v>1.19</v>
      </c>
      <c r="BS326" s="333">
        <v>0</v>
      </c>
      <c r="BT326" s="334">
        <v>1</v>
      </c>
      <c r="BU326" s="334">
        <v>1.04</v>
      </c>
      <c r="BV326" s="335">
        <v>1.06</v>
      </c>
      <c r="BW326" s="334">
        <v>1.05</v>
      </c>
      <c r="BX326" s="334">
        <v>1.02</v>
      </c>
      <c r="BZ326" s="333">
        <v>0</v>
      </c>
      <c r="CA326" s="334">
        <v>1</v>
      </c>
      <c r="CB326" s="334">
        <v>1</v>
      </c>
      <c r="CC326" s="335">
        <v>0.98</v>
      </c>
      <c r="CD326" s="334">
        <v>0.93</v>
      </c>
      <c r="CE326" s="334">
        <v>0.86</v>
      </c>
      <c r="CG326" s="333">
        <v>0</v>
      </c>
      <c r="CH326" s="334">
        <v>1</v>
      </c>
      <c r="CI326" s="334">
        <v>0.97</v>
      </c>
      <c r="CJ326" s="335">
        <v>0.92</v>
      </c>
      <c r="CK326" s="334">
        <v>0.84</v>
      </c>
      <c r="CL326" s="334">
        <v>0.75</v>
      </c>
      <c r="CN326" s="333">
        <v>0</v>
      </c>
      <c r="CO326" s="334">
        <v>1</v>
      </c>
      <c r="CP326" s="334">
        <v>0.96</v>
      </c>
      <c r="CQ326" s="335">
        <v>0.89</v>
      </c>
      <c r="CR326" s="334">
        <v>0.82</v>
      </c>
      <c r="CS326" s="334">
        <v>0.72</v>
      </c>
    </row>
    <row r="327" spans="3:97" x14ac:dyDescent="0.25">
      <c r="C327" s="333">
        <v>110</v>
      </c>
      <c r="D327" s="334">
        <v>0.96</v>
      </c>
      <c r="E327" s="334">
        <v>0.95</v>
      </c>
      <c r="F327" s="335">
        <v>0.93</v>
      </c>
      <c r="G327" s="334">
        <v>0.88</v>
      </c>
      <c r="H327" s="334">
        <v>0.83</v>
      </c>
      <c r="I327" s="334">
        <v>0.77</v>
      </c>
      <c r="J327" s="334">
        <v>0.7</v>
      </c>
      <c r="K327" s="334">
        <v>0.63</v>
      </c>
      <c r="L327" s="334">
        <v>0.56000000000000005</v>
      </c>
      <c r="M327" s="334">
        <v>0.49</v>
      </c>
      <c r="O327" s="333">
        <v>10</v>
      </c>
      <c r="P327" s="334">
        <v>1</v>
      </c>
      <c r="Q327" s="334">
        <v>0.97</v>
      </c>
      <c r="R327" s="335">
        <v>0.91</v>
      </c>
      <c r="S327" s="334">
        <v>0.84</v>
      </c>
      <c r="T327" s="334">
        <v>0.76</v>
      </c>
      <c r="V327" s="333">
        <v>10</v>
      </c>
      <c r="W327" s="334">
        <v>1</v>
      </c>
      <c r="X327" s="334">
        <v>0.99</v>
      </c>
      <c r="Y327" s="335">
        <v>0.96</v>
      </c>
      <c r="Z327" s="334">
        <v>0.91</v>
      </c>
      <c r="AA327" s="334">
        <v>0.83</v>
      </c>
      <c r="AC327" s="333">
        <v>10</v>
      </c>
      <c r="AD327" s="334">
        <v>1</v>
      </c>
      <c r="AE327" s="334">
        <v>1.02</v>
      </c>
      <c r="AF327" s="335">
        <v>1.03</v>
      </c>
      <c r="AG327" s="334">
        <v>1</v>
      </c>
      <c r="AH327" s="334">
        <v>0.95</v>
      </c>
      <c r="AJ327" s="333">
        <v>10</v>
      </c>
      <c r="AK327" s="334">
        <v>1</v>
      </c>
      <c r="AL327" s="334">
        <v>1.07</v>
      </c>
      <c r="AM327" s="335">
        <v>1.1200000000000001</v>
      </c>
      <c r="AN327" s="334">
        <v>1.1299999999999999</v>
      </c>
      <c r="AO327" s="334">
        <v>1.1200000000000001</v>
      </c>
      <c r="AQ327" s="333">
        <v>10</v>
      </c>
      <c r="AR327" s="334">
        <v>1</v>
      </c>
      <c r="AS327" s="334">
        <v>1.1200000000000001</v>
      </c>
      <c r="AT327" s="335">
        <v>1.2</v>
      </c>
      <c r="AU327" s="334">
        <v>1.25</v>
      </c>
      <c r="AV327" s="334">
        <v>1.28</v>
      </c>
      <c r="AX327" s="333">
        <v>10</v>
      </c>
      <c r="AY327" s="334">
        <v>1</v>
      </c>
      <c r="AZ327" s="334">
        <v>1.1299999999999999</v>
      </c>
      <c r="BA327" s="335">
        <v>1.24</v>
      </c>
      <c r="BB327" s="334">
        <v>1.31</v>
      </c>
      <c r="BC327" s="334">
        <v>1.35</v>
      </c>
      <c r="BE327" s="333">
        <v>10</v>
      </c>
      <c r="BF327" s="334">
        <v>1</v>
      </c>
      <c r="BG327" s="334">
        <v>1.1299999999999999</v>
      </c>
      <c r="BH327" s="335">
        <v>1.23</v>
      </c>
      <c r="BI327" s="334">
        <v>1.29</v>
      </c>
      <c r="BJ327" s="334">
        <v>1.32</v>
      </c>
      <c r="BL327" s="333">
        <v>10</v>
      </c>
      <c r="BM327" s="334">
        <v>1</v>
      </c>
      <c r="BN327" s="334">
        <v>1.0900000000000001</v>
      </c>
      <c r="BO327" s="335">
        <v>1.1499999999999999</v>
      </c>
      <c r="BP327" s="334">
        <v>1.18</v>
      </c>
      <c r="BQ327" s="334">
        <v>1.18</v>
      </c>
      <c r="BS327" s="333">
        <v>10</v>
      </c>
      <c r="BT327" s="334">
        <v>1</v>
      </c>
      <c r="BU327" s="334">
        <v>1.04</v>
      </c>
      <c r="BV327" s="335">
        <v>1.06</v>
      </c>
      <c r="BW327" s="334">
        <v>1.05</v>
      </c>
      <c r="BX327" s="334">
        <v>1.01</v>
      </c>
      <c r="BZ327" s="333">
        <v>10</v>
      </c>
      <c r="CA327" s="334">
        <v>1</v>
      </c>
      <c r="CB327" s="334">
        <v>1</v>
      </c>
      <c r="CC327" s="335">
        <v>0.98</v>
      </c>
      <c r="CD327" s="334">
        <v>0.93</v>
      </c>
      <c r="CE327" s="334">
        <v>0.86</v>
      </c>
      <c r="CG327" s="333">
        <v>10</v>
      </c>
      <c r="CH327" s="334">
        <v>1</v>
      </c>
      <c r="CI327" s="334">
        <v>0.97</v>
      </c>
      <c r="CJ327" s="335">
        <v>0.92</v>
      </c>
      <c r="CK327" s="334">
        <v>0.85</v>
      </c>
      <c r="CL327" s="334">
        <v>0.76</v>
      </c>
      <c r="CN327" s="333">
        <v>10</v>
      </c>
      <c r="CO327" s="334">
        <v>1</v>
      </c>
      <c r="CP327" s="334">
        <v>0.96</v>
      </c>
      <c r="CQ327" s="335">
        <v>0.9</v>
      </c>
      <c r="CR327" s="334">
        <v>0.82</v>
      </c>
      <c r="CS327" s="334">
        <v>0.73</v>
      </c>
    </row>
    <row r="328" spans="3:97" x14ac:dyDescent="0.25">
      <c r="C328" s="333">
        <v>120</v>
      </c>
      <c r="D328" s="334">
        <v>0.96</v>
      </c>
      <c r="E328" s="334">
        <v>0.94</v>
      </c>
      <c r="F328" s="335">
        <v>0.91</v>
      </c>
      <c r="G328" s="334">
        <v>0.86</v>
      </c>
      <c r="H328" s="334">
        <v>0.8</v>
      </c>
      <c r="I328" s="334">
        <v>0.74</v>
      </c>
      <c r="J328" s="334">
        <v>0.67</v>
      </c>
      <c r="K328" s="334">
        <v>0.59</v>
      </c>
      <c r="L328" s="334">
        <v>0.52</v>
      </c>
      <c r="M328" s="334">
        <v>0.46</v>
      </c>
      <c r="O328" s="333">
        <v>20</v>
      </c>
      <c r="P328" s="334">
        <v>1</v>
      </c>
      <c r="Q328" s="334">
        <v>0.97</v>
      </c>
      <c r="R328" s="335">
        <v>0.92</v>
      </c>
      <c r="S328" s="334">
        <v>0.85</v>
      </c>
      <c r="T328" s="334">
        <v>0.77</v>
      </c>
      <c r="V328" s="333">
        <v>20</v>
      </c>
      <c r="W328" s="334">
        <v>1</v>
      </c>
      <c r="X328" s="334">
        <v>1</v>
      </c>
      <c r="Y328" s="335">
        <v>0.97</v>
      </c>
      <c r="Z328" s="334">
        <v>0.91</v>
      </c>
      <c r="AA328" s="334">
        <v>0.85</v>
      </c>
      <c r="AC328" s="333">
        <v>20</v>
      </c>
      <c r="AD328" s="334">
        <v>1</v>
      </c>
      <c r="AE328" s="334">
        <v>1.02</v>
      </c>
      <c r="AF328" s="335">
        <v>1.03</v>
      </c>
      <c r="AG328" s="334">
        <v>1</v>
      </c>
      <c r="AH328" s="334">
        <v>0.96</v>
      </c>
      <c r="AJ328" s="333">
        <v>20</v>
      </c>
      <c r="AK328" s="334">
        <v>1</v>
      </c>
      <c r="AL328" s="334">
        <v>1.07</v>
      </c>
      <c r="AM328" s="335">
        <v>1.1100000000000001</v>
      </c>
      <c r="AN328" s="334">
        <v>1.1200000000000001</v>
      </c>
      <c r="AO328" s="334">
        <v>1.1100000000000001</v>
      </c>
      <c r="AQ328" s="333">
        <v>20</v>
      </c>
      <c r="AR328" s="334">
        <v>1</v>
      </c>
      <c r="AS328" s="334">
        <v>1.1100000000000001</v>
      </c>
      <c r="AT328" s="335">
        <v>1.19</v>
      </c>
      <c r="AU328" s="334">
        <v>1.24</v>
      </c>
      <c r="AV328" s="334">
        <v>1.26</v>
      </c>
      <c r="AX328" s="333">
        <v>20</v>
      </c>
      <c r="AY328" s="334">
        <v>1</v>
      </c>
      <c r="AZ328" s="334">
        <v>1.1299999999999999</v>
      </c>
      <c r="BA328" s="335">
        <v>1.23</v>
      </c>
      <c r="BB328" s="334">
        <v>1.3</v>
      </c>
      <c r="BC328" s="334">
        <v>1.33</v>
      </c>
      <c r="BE328" s="333">
        <v>20</v>
      </c>
      <c r="BF328" s="334">
        <v>1</v>
      </c>
      <c r="BG328" s="334">
        <v>1.1200000000000001</v>
      </c>
      <c r="BH328" s="335">
        <v>1.21</v>
      </c>
      <c r="BI328" s="334">
        <v>1.27</v>
      </c>
      <c r="BJ328" s="334">
        <v>1.3</v>
      </c>
      <c r="BL328" s="333">
        <v>20</v>
      </c>
      <c r="BM328" s="334">
        <v>1</v>
      </c>
      <c r="BN328" s="334">
        <v>1.08</v>
      </c>
      <c r="BO328" s="335">
        <v>1.1399999999999999</v>
      </c>
      <c r="BP328" s="334">
        <v>1.17</v>
      </c>
      <c r="BQ328" s="334">
        <v>1.1599999999999999</v>
      </c>
      <c r="BS328" s="333">
        <v>20</v>
      </c>
      <c r="BT328" s="334">
        <v>1</v>
      </c>
      <c r="BU328" s="334">
        <v>1.04</v>
      </c>
      <c r="BV328" s="335">
        <v>1.06</v>
      </c>
      <c r="BW328" s="334">
        <v>1.04</v>
      </c>
      <c r="BX328" s="334">
        <v>1</v>
      </c>
      <c r="BZ328" s="333">
        <v>20</v>
      </c>
      <c r="CA328" s="334">
        <v>1</v>
      </c>
      <c r="CB328" s="334">
        <v>1</v>
      </c>
      <c r="CC328" s="335">
        <v>0.97</v>
      </c>
      <c r="CD328" s="334">
        <v>0.93</v>
      </c>
      <c r="CE328" s="334">
        <v>0.86</v>
      </c>
      <c r="CG328" s="333">
        <v>20</v>
      </c>
      <c r="CH328" s="334">
        <v>1</v>
      </c>
      <c r="CI328" s="334">
        <v>0.98</v>
      </c>
      <c r="CJ328" s="335">
        <v>0.92</v>
      </c>
      <c r="CK328" s="334">
        <v>0.85</v>
      </c>
      <c r="CL328" s="334">
        <v>0.77</v>
      </c>
      <c r="CN328" s="333">
        <v>20</v>
      </c>
      <c r="CO328" s="334">
        <v>1</v>
      </c>
      <c r="CP328" s="334">
        <v>0.96</v>
      </c>
      <c r="CQ328" s="335">
        <v>0.9</v>
      </c>
      <c r="CR328" s="334">
        <v>0.83</v>
      </c>
      <c r="CS328" s="334">
        <v>0.75</v>
      </c>
    </row>
    <row r="329" spans="3:97" x14ac:dyDescent="0.25">
      <c r="C329" s="333">
        <v>130</v>
      </c>
      <c r="D329" s="334">
        <v>0.96</v>
      </c>
      <c r="E329" s="334">
        <v>0.94</v>
      </c>
      <c r="F329" s="335">
        <v>0.9</v>
      </c>
      <c r="G329" s="334">
        <v>0.84</v>
      </c>
      <c r="H329" s="334">
        <v>0.78</v>
      </c>
      <c r="I329" s="334">
        <v>0.7</v>
      </c>
      <c r="J329" s="334">
        <v>0.63</v>
      </c>
      <c r="K329" s="334">
        <v>0.56000000000000005</v>
      </c>
      <c r="L329" s="334">
        <v>0.48</v>
      </c>
      <c r="M329" s="334">
        <v>0.41</v>
      </c>
      <c r="O329" s="333">
        <v>30</v>
      </c>
      <c r="P329" s="334">
        <v>1</v>
      </c>
      <c r="Q329" s="334">
        <v>0.98</v>
      </c>
      <c r="R329" s="335">
        <v>0.93</v>
      </c>
      <c r="S329" s="334">
        <v>0.87</v>
      </c>
      <c r="T329" s="334">
        <v>0.79</v>
      </c>
      <c r="V329" s="333">
        <v>30</v>
      </c>
      <c r="W329" s="334">
        <v>1</v>
      </c>
      <c r="X329" s="334">
        <v>1</v>
      </c>
      <c r="Y329" s="335">
        <v>0.97</v>
      </c>
      <c r="Z329" s="334">
        <v>0.92</v>
      </c>
      <c r="AA329" s="334">
        <v>0.86</v>
      </c>
      <c r="AC329" s="333">
        <v>30</v>
      </c>
      <c r="AD329" s="334">
        <v>1</v>
      </c>
      <c r="AE329" s="334">
        <v>1.02</v>
      </c>
      <c r="AF329" s="335">
        <v>1.02</v>
      </c>
      <c r="AG329" s="334">
        <v>1</v>
      </c>
      <c r="AH329" s="334">
        <v>0.96</v>
      </c>
      <c r="AJ329" s="333">
        <v>30</v>
      </c>
      <c r="AK329" s="334">
        <v>1</v>
      </c>
      <c r="AL329" s="334">
        <v>1.06</v>
      </c>
      <c r="AM329" s="335">
        <v>1.1000000000000001</v>
      </c>
      <c r="AN329" s="334">
        <v>1.1100000000000001</v>
      </c>
      <c r="AO329" s="334">
        <v>1.0900000000000001</v>
      </c>
      <c r="AQ329" s="333">
        <v>30</v>
      </c>
      <c r="AR329" s="334">
        <v>1</v>
      </c>
      <c r="AS329" s="334">
        <v>1.1000000000000001</v>
      </c>
      <c r="AT329" s="335">
        <v>1.17</v>
      </c>
      <c r="AU329" s="334">
        <v>1.22</v>
      </c>
      <c r="AV329" s="334">
        <v>1.23</v>
      </c>
      <c r="AX329" s="333">
        <v>30</v>
      </c>
      <c r="AY329" s="334">
        <v>1</v>
      </c>
      <c r="AZ329" s="334">
        <v>1.1200000000000001</v>
      </c>
      <c r="BA329" s="335">
        <v>1.21</v>
      </c>
      <c r="BB329" s="334">
        <v>1.27</v>
      </c>
      <c r="BC329" s="334">
        <v>1.29</v>
      </c>
      <c r="BE329" s="333">
        <v>30</v>
      </c>
      <c r="BF329" s="334">
        <v>1</v>
      </c>
      <c r="BG329" s="334">
        <v>1.1100000000000001</v>
      </c>
      <c r="BH329" s="335">
        <v>1.19</v>
      </c>
      <c r="BI329" s="334">
        <v>1.25</v>
      </c>
      <c r="BJ329" s="334">
        <v>1.26</v>
      </c>
      <c r="BL329" s="333">
        <v>30</v>
      </c>
      <c r="BM329" s="334">
        <v>1</v>
      </c>
      <c r="BN329" s="334">
        <v>1.08</v>
      </c>
      <c r="BO329" s="335">
        <v>1.1299999999999999</v>
      </c>
      <c r="BP329" s="334">
        <v>1.1499999999999999</v>
      </c>
      <c r="BQ329" s="334">
        <v>1.1399999999999999</v>
      </c>
      <c r="BS329" s="333">
        <v>30</v>
      </c>
      <c r="BT329" s="334">
        <v>1</v>
      </c>
      <c r="BU329" s="334">
        <v>1.04</v>
      </c>
      <c r="BV329" s="335">
        <v>1.05</v>
      </c>
      <c r="BW329" s="334">
        <v>1.03</v>
      </c>
      <c r="BX329" s="334">
        <v>1</v>
      </c>
      <c r="BZ329" s="333">
        <v>30</v>
      </c>
      <c r="CA329" s="334">
        <v>1</v>
      </c>
      <c r="CB329" s="334">
        <v>1</v>
      </c>
      <c r="CC329" s="335">
        <v>0.98</v>
      </c>
      <c r="CD329" s="334">
        <v>0.93</v>
      </c>
      <c r="CE329" s="334">
        <v>0.86</v>
      </c>
      <c r="CG329" s="333">
        <v>30</v>
      </c>
      <c r="CH329" s="334">
        <v>1</v>
      </c>
      <c r="CI329" s="334">
        <v>0.98</v>
      </c>
      <c r="CJ329" s="335">
        <v>0.93</v>
      </c>
      <c r="CK329" s="334">
        <v>0.87</v>
      </c>
      <c r="CL329" s="334">
        <v>0.79</v>
      </c>
      <c r="CN329" s="333">
        <v>30</v>
      </c>
      <c r="CO329" s="334">
        <v>1</v>
      </c>
      <c r="CP329" s="334">
        <v>0.97</v>
      </c>
      <c r="CQ329" s="335">
        <v>0.91</v>
      </c>
      <c r="CR329" s="334">
        <v>0.85</v>
      </c>
      <c r="CS329" s="334">
        <v>0.77</v>
      </c>
    </row>
    <row r="330" spans="3:97" x14ac:dyDescent="0.25">
      <c r="C330" s="333">
        <v>140</v>
      </c>
      <c r="D330" s="334">
        <v>0.96</v>
      </c>
      <c r="E330" s="334">
        <v>0.93</v>
      </c>
      <c r="F330" s="335">
        <v>0.89</v>
      </c>
      <c r="G330" s="334">
        <v>0.82</v>
      </c>
      <c r="H330" s="334">
        <v>0.75</v>
      </c>
      <c r="I330" s="334">
        <v>0.67</v>
      </c>
      <c r="J330" s="334">
        <v>0.59</v>
      </c>
      <c r="K330" s="334">
        <v>0.51</v>
      </c>
      <c r="L330" s="334">
        <v>0.44</v>
      </c>
      <c r="M330" s="334">
        <v>0.37</v>
      </c>
      <c r="O330" s="333">
        <v>40</v>
      </c>
      <c r="P330" s="334">
        <v>1</v>
      </c>
      <c r="Q330" s="334">
        <v>0.98</v>
      </c>
      <c r="R330" s="335">
        <v>0.94</v>
      </c>
      <c r="S330" s="334">
        <v>0.89</v>
      </c>
      <c r="T330" s="334">
        <v>0.82</v>
      </c>
      <c r="V330" s="333">
        <v>40</v>
      </c>
      <c r="W330" s="334">
        <v>1</v>
      </c>
      <c r="X330" s="334">
        <v>1</v>
      </c>
      <c r="Y330" s="335">
        <v>0.98</v>
      </c>
      <c r="Z330" s="334">
        <v>0.93</v>
      </c>
      <c r="AA330" s="334">
        <v>0.88</v>
      </c>
      <c r="AC330" s="333">
        <v>40</v>
      </c>
      <c r="AD330" s="334">
        <v>1</v>
      </c>
      <c r="AE330" s="334">
        <v>1.02</v>
      </c>
      <c r="AF330" s="335">
        <v>1.02</v>
      </c>
      <c r="AG330" s="334">
        <v>1</v>
      </c>
      <c r="AH330" s="334">
        <v>0.96</v>
      </c>
      <c r="AJ330" s="333">
        <v>40</v>
      </c>
      <c r="AK330" s="334">
        <v>1</v>
      </c>
      <c r="AL330" s="334">
        <v>1.06</v>
      </c>
      <c r="AM330" s="335">
        <v>1.0900000000000001</v>
      </c>
      <c r="AN330" s="334">
        <v>1.1000000000000001</v>
      </c>
      <c r="AO330" s="334">
        <v>1.08</v>
      </c>
      <c r="AQ330" s="333">
        <v>40</v>
      </c>
      <c r="AR330" s="334">
        <v>1</v>
      </c>
      <c r="AS330" s="334">
        <v>1.0900000000000001</v>
      </c>
      <c r="AT330" s="335">
        <v>1.1499999999999999</v>
      </c>
      <c r="AU330" s="334">
        <v>1.19</v>
      </c>
      <c r="AV330" s="334">
        <v>1.19</v>
      </c>
      <c r="AX330" s="333">
        <v>40</v>
      </c>
      <c r="AY330" s="334">
        <v>1</v>
      </c>
      <c r="AZ330" s="334">
        <v>1.1000000000000001</v>
      </c>
      <c r="BA330" s="335">
        <v>1.18</v>
      </c>
      <c r="BB330" s="334">
        <v>1.23</v>
      </c>
      <c r="BC330" s="334">
        <v>1.24</v>
      </c>
      <c r="BE330" s="333">
        <v>40</v>
      </c>
      <c r="BF330" s="334">
        <v>1</v>
      </c>
      <c r="BG330" s="334">
        <v>1.1000000000000001</v>
      </c>
      <c r="BH330" s="335">
        <v>1.17</v>
      </c>
      <c r="BI330" s="334">
        <v>1.21</v>
      </c>
      <c r="BJ330" s="334">
        <v>1.22</v>
      </c>
      <c r="BL330" s="333">
        <v>40</v>
      </c>
      <c r="BM330" s="334">
        <v>1</v>
      </c>
      <c r="BN330" s="334">
        <v>1.06</v>
      </c>
      <c r="BO330" s="335">
        <v>1.1100000000000001</v>
      </c>
      <c r="BP330" s="334">
        <v>1.1200000000000001</v>
      </c>
      <c r="BQ330" s="334">
        <v>1.1100000000000001</v>
      </c>
      <c r="BS330" s="333">
        <v>40</v>
      </c>
      <c r="BT330" s="334">
        <v>1</v>
      </c>
      <c r="BU330" s="334">
        <v>1.03</v>
      </c>
      <c r="BV330" s="335">
        <v>1.04</v>
      </c>
      <c r="BW330" s="334">
        <v>1.02</v>
      </c>
      <c r="BX330" s="334">
        <v>0.98</v>
      </c>
      <c r="BZ330" s="333">
        <v>40</v>
      </c>
      <c r="CA330" s="334">
        <v>1</v>
      </c>
      <c r="CB330" s="334">
        <v>1</v>
      </c>
      <c r="CC330" s="335">
        <v>0.98</v>
      </c>
      <c r="CD330" s="334">
        <v>0.93</v>
      </c>
      <c r="CE330" s="334">
        <v>0.88</v>
      </c>
      <c r="CG330" s="333">
        <v>40</v>
      </c>
      <c r="CH330" s="334">
        <v>1</v>
      </c>
      <c r="CI330" s="334">
        <v>0.98</v>
      </c>
      <c r="CJ330" s="335">
        <v>0.94</v>
      </c>
      <c r="CK330" s="334">
        <v>0.88</v>
      </c>
      <c r="CL330" s="334">
        <v>0.81</v>
      </c>
      <c r="CN330" s="333">
        <v>40</v>
      </c>
      <c r="CO330" s="334">
        <v>1</v>
      </c>
      <c r="CP330" s="334">
        <v>0.97</v>
      </c>
      <c r="CQ330" s="335">
        <v>0.93</v>
      </c>
      <c r="CR330" s="334">
        <v>0.87</v>
      </c>
      <c r="CS330" s="334">
        <v>0.79</v>
      </c>
    </row>
    <row r="331" spans="3:97" x14ac:dyDescent="0.25">
      <c r="C331" s="333">
        <v>150</v>
      </c>
      <c r="D331" s="334">
        <v>0.96</v>
      </c>
      <c r="E331" s="334">
        <v>0.93</v>
      </c>
      <c r="F331" s="335">
        <v>0.88</v>
      </c>
      <c r="G331" s="334">
        <v>0.81</v>
      </c>
      <c r="H331" s="334">
        <v>0.73</v>
      </c>
      <c r="I331" s="334">
        <v>0.64</v>
      </c>
      <c r="J331" s="334">
        <v>0.55000000000000004</v>
      </c>
      <c r="K331" s="334">
        <v>0.46</v>
      </c>
      <c r="L331" s="334">
        <v>0.39</v>
      </c>
      <c r="M331" s="334">
        <v>0.33</v>
      </c>
      <c r="O331" s="333">
        <v>50</v>
      </c>
      <c r="P331" s="334">
        <v>1</v>
      </c>
      <c r="Q331" s="334">
        <v>0.99</v>
      </c>
      <c r="R331" s="335">
        <v>0.95</v>
      </c>
      <c r="S331" s="334">
        <v>0.91</v>
      </c>
      <c r="T331" s="334">
        <v>0.84</v>
      </c>
      <c r="V331" s="333">
        <v>50</v>
      </c>
      <c r="W331" s="334">
        <v>1</v>
      </c>
      <c r="X331" s="334">
        <v>1</v>
      </c>
      <c r="Y331" s="335">
        <v>0.98</v>
      </c>
      <c r="Z331" s="334">
        <v>0.95</v>
      </c>
      <c r="AA331" s="334">
        <v>0.89</v>
      </c>
      <c r="AC331" s="333">
        <v>50</v>
      </c>
      <c r="AD331" s="334">
        <v>1</v>
      </c>
      <c r="AE331" s="334">
        <v>1.02</v>
      </c>
      <c r="AF331" s="335">
        <v>1.02</v>
      </c>
      <c r="AG331" s="334">
        <v>1</v>
      </c>
      <c r="AH331" s="334">
        <v>0.96</v>
      </c>
      <c r="AJ331" s="333">
        <v>50</v>
      </c>
      <c r="AK331" s="334">
        <v>1</v>
      </c>
      <c r="AL331" s="334">
        <v>1.05</v>
      </c>
      <c r="AM331" s="335">
        <v>1.08</v>
      </c>
      <c r="AN331" s="334">
        <v>1.08</v>
      </c>
      <c r="AO331" s="334">
        <v>1.05</v>
      </c>
      <c r="AQ331" s="333">
        <v>50</v>
      </c>
      <c r="AR331" s="334">
        <v>1</v>
      </c>
      <c r="AS331" s="334">
        <v>1.08</v>
      </c>
      <c r="AT331" s="335">
        <v>1.1299999999999999</v>
      </c>
      <c r="AU331" s="334">
        <v>1.1499999999999999</v>
      </c>
      <c r="AV331" s="334">
        <v>1.1399999999999999</v>
      </c>
      <c r="AX331" s="333">
        <v>50</v>
      </c>
      <c r="AY331" s="334">
        <v>1</v>
      </c>
      <c r="AZ331" s="334">
        <v>1.0900000000000001</v>
      </c>
      <c r="BA331" s="335">
        <v>1.1499999999999999</v>
      </c>
      <c r="BB331" s="334">
        <v>1.18</v>
      </c>
      <c r="BC331" s="334">
        <v>1.19</v>
      </c>
      <c r="BE331" s="333">
        <v>50</v>
      </c>
      <c r="BF331" s="334">
        <v>1</v>
      </c>
      <c r="BG331" s="334">
        <v>1.0900000000000001</v>
      </c>
      <c r="BH331" s="335">
        <v>1.1399999999999999</v>
      </c>
      <c r="BI331" s="334">
        <v>1.17</v>
      </c>
      <c r="BJ331" s="334">
        <v>1.17</v>
      </c>
      <c r="BL331" s="333">
        <v>50</v>
      </c>
      <c r="BM331" s="334">
        <v>1</v>
      </c>
      <c r="BN331" s="334">
        <v>1.06</v>
      </c>
      <c r="BO331" s="335">
        <v>1.0900000000000001</v>
      </c>
      <c r="BP331" s="334">
        <v>1.0900000000000001</v>
      </c>
      <c r="BQ331" s="334">
        <v>1.07</v>
      </c>
      <c r="BS331" s="333">
        <v>50</v>
      </c>
      <c r="BT331" s="334">
        <v>1</v>
      </c>
      <c r="BU331" s="334">
        <v>1.03</v>
      </c>
      <c r="BV331" s="335">
        <v>1.03</v>
      </c>
      <c r="BW331" s="334">
        <v>1.01</v>
      </c>
      <c r="BX331" s="334">
        <v>0.97</v>
      </c>
      <c r="BZ331" s="333">
        <v>50</v>
      </c>
      <c r="CA331" s="334">
        <v>1</v>
      </c>
      <c r="CB331" s="334">
        <v>1</v>
      </c>
      <c r="CC331" s="335">
        <v>0.98</v>
      </c>
      <c r="CD331" s="334">
        <v>0.93</v>
      </c>
      <c r="CE331" s="334">
        <v>0.88</v>
      </c>
      <c r="CG331" s="333">
        <v>50</v>
      </c>
      <c r="CH331" s="334">
        <v>1</v>
      </c>
      <c r="CI331" s="334">
        <v>0.98</v>
      </c>
      <c r="CJ331" s="335">
        <v>0.95</v>
      </c>
      <c r="CK331" s="334">
        <v>0.89</v>
      </c>
      <c r="CL331" s="334">
        <v>0.83</v>
      </c>
      <c r="CN331" s="333">
        <v>50</v>
      </c>
      <c r="CO331" s="334">
        <v>1</v>
      </c>
      <c r="CP331" s="334">
        <v>0.98</v>
      </c>
      <c r="CQ331" s="335">
        <v>0.94</v>
      </c>
      <c r="CR331" s="334">
        <v>0.89</v>
      </c>
      <c r="CS331" s="334">
        <v>0.82</v>
      </c>
    </row>
    <row r="332" spans="3:97" x14ac:dyDescent="0.25">
      <c r="C332" s="333">
        <v>160</v>
      </c>
      <c r="D332" s="334">
        <v>0.96</v>
      </c>
      <c r="E332" s="334">
        <v>0.93</v>
      </c>
      <c r="F332" s="335">
        <v>0.87</v>
      </c>
      <c r="G332" s="334">
        <v>0.8</v>
      </c>
      <c r="H332" s="334">
        <v>0.71</v>
      </c>
      <c r="I332" s="334">
        <v>0.61</v>
      </c>
      <c r="J332" s="334">
        <v>0.51</v>
      </c>
      <c r="K332" s="334">
        <v>0.43</v>
      </c>
      <c r="L332" s="334">
        <v>0.36</v>
      </c>
      <c r="M332" s="334">
        <v>0.3</v>
      </c>
      <c r="O332" s="333">
        <v>60</v>
      </c>
      <c r="P332" s="334">
        <v>1</v>
      </c>
      <c r="Q332" s="334">
        <v>0.99</v>
      </c>
      <c r="R332" s="335">
        <v>0.97</v>
      </c>
      <c r="S332" s="334">
        <v>0.92</v>
      </c>
      <c r="T332" s="334">
        <v>0.87</v>
      </c>
      <c r="V332" s="333">
        <v>60</v>
      </c>
      <c r="W332" s="334">
        <v>1</v>
      </c>
      <c r="X332" s="334">
        <v>1</v>
      </c>
      <c r="Y332" s="335">
        <v>0.99</v>
      </c>
      <c r="Z332" s="334">
        <v>0.96</v>
      </c>
      <c r="AA332" s="334">
        <v>0.91</v>
      </c>
      <c r="AC332" s="333">
        <v>60</v>
      </c>
      <c r="AD332" s="334">
        <v>1</v>
      </c>
      <c r="AE332" s="334">
        <v>1.02</v>
      </c>
      <c r="AF332" s="335">
        <v>1.01</v>
      </c>
      <c r="AG332" s="334">
        <v>1</v>
      </c>
      <c r="AH332" s="334">
        <v>0.96</v>
      </c>
      <c r="AJ332" s="333">
        <v>60</v>
      </c>
      <c r="AK332" s="334">
        <v>1</v>
      </c>
      <c r="AL332" s="334">
        <v>1.04</v>
      </c>
      <c r="AM332" s="335">
        <v>1.06</v>
      </c>
      <c r="AN332" s="334">
        <v>1.05</v>
      </c>
      <c r="AO332" s="334">
        <v>1.03</v>
      </c>
      <c r="AQ332" s="333">
        <v>60</v>
      </c>
      <c r="AR332" s="334">
        <v>1</v>
      </c>
      <c r="AS332" s="334">
        <v>1.06</v>
      </c>
      <c r="AT332" s="335">
        <v>1.1000000000000001</v>
      </c>
      <c r="AU332" s="334">
        <v>1.1000000000000001</v>
      </c>
      <c r="AV332" s="334">
        <v>1.0900000000000001</v>
      </c>
      <c r="AX332" s="333">
        <v>60</v>
      </c>
      <c r="AY332" s="334">
        <v>1</v>
      </c>
      <c r="AZ332" s="334">
        <v>1.07</v>
      </c>
      <c r="BA332" s="335">
        <v>1.1100000000000001</v>
      </c>
      <c r="BB332" s="334">
        <v>1.1299999999999999</v>
      </c>
      <c r="BC332" s="334">
        <v>1.1299999999999999</v>
      </c>
      <c r="BE332" s="333">
        <v>60</v>
      </c>
      <c r="BF332" s="334">
        <v>1</v>
      </c>
      <c r="BG332" s="334">
        <v>1.07</v>
      </c>
      <c r="BH332" s="335">
        <v>1.1000000000000001</v>
      </c>
      <c r="BI332" s="334">
        <v>1.1200000000000001</v>
      </c>
      <c r="BJ332" s="334">
        <v>1.1100000000000001</v>
      </c>
      <c r="BL332" s="333">
        <v>60</v>
      </c>
      <c r="BM332" s="334">
        <v>1</v>
      </c>
      <c r="BN332" s="334">
        <v>1.04</v>
      </c>
      <c r="BO332" s="335">
        <v>1.06</v>
      </c>
      <c r="BP332" s="334">
        <v>1.06</v>
      </c>
      <c r="BQ332" s="334">
        <v>1.04</v>
      </c>
      <c r="BS332" s="333">
        <v>60</v>
      </c>
      <c r="BT332" s="334">
        <v>1</v>
      </c>
      <c r="BU332" s="334">
        <v>1.02</v>
      </c>
      <c r="BV332" s="335">
        <v>1.02</v>
      </c>
      <c r="BW332" s="334">
        <v>0.99</v>
      </c>
      <c r="BX332" s="334">
        <v>0.96</v>
      </c>
      <c r="BZ332" s="333">
        <v>60</v>
      </c>
      <c r="CA332" s="334">
        <v>1</v>
      </c>
      <c r="CB332" s="334">
        <v>1</v>
      </c>
      <c r="CC332" s="335">
        <v>0.98</v>
      </c>
      <c r="CD332" s="334">
        <v>0.94</v>
      </c>
      <c r="CE332" s="334">
        <v>0.89</v>
      </c>
      <c r="CG332" s="333">
        <v>60</v>
      </c>
      <c r="CH332" s="334">
        <v>1</v>
      </c>
      <c r="CI332" s="334">
        <v>0.99</v>
      </c>
      <c r="CJ332" s="335">
        <v>0.96</v>
      </c>
      <c r="CK332" s="334">
        <v>0.91</v>
      </c>
      <c r="CL332" s="334">
        <v>0.85</v>
      </c>
      <c r="CN332" s="333">
        <v>60</v>
      </c>
      <c r="CO332" s="334">
        <v>1</v>
      </c>
      <c r="CP332" s="334">
        <v>0.99</v>
      </c>
      <c r="CQ332" s="335">
        <v>0.95</v>
      </c>
      <c r="CR332" s="334">
        <v>0.91</v>
      </c>
      <c r="CS332" s="334">
        <v>0.85</v>
      </c>
    </row>
    <row r="333" spans="3:97" x14ac:dyDescent="0.25">
      <c r="C333" s="333">
        <v>170</v>
      </c>
      <c r="D333" s="334">
        <v>0.96</v>
      </c>
      <c r="E333" s="334">
        <v>0.93</v>
      </c>
      <c r="F333" s="335">
        <v>0.87</v>
      </c>
      <c r="G333" s="334">
        <v>0.79</v>
      </c>
      <c r="H333" s="334">
        <v>0.7</v>
      </c>
      <c r="I333" s="334">
        <v>0.59</v>
      </c>
      <c r="J333" s="334">
        <v>0.49</v>
      </c>
      <c r="K333" s="334">
        <v>0.41</v>
      </c>
      <c r="L333" s="334">
        <v>0.34</v>
      </c>
      <c r="M333" s="334">
        <v>0.28000000000000003</v>
      </c>
      <c r="O333" s="333">
        <v>70</v>
      </c>
      <c r="P333" s="334">
        <v>1</v>
      </c>
      <c r="Q333" s="334">
        <v>1</v>
      </c>
      <c r="R333" s="335">
        <v>0.98</v>
      </c>
      <c r="S333" s="334">
        <v>0.94</v>
      </c>
      <c r="T333" s="334">
        <v>0.89</v>
      </c>
      <c r="V333" s="333">
        <v>70</v>
      </c>
      <c r="W333" s="334">
        <v>1</v>
      </c>
      <c r="X333" s="334">
        <v>1.01</v>
      </c>
      <c r="Y333" s="335">
        <v>1</v>
      </c>
      <c r="Z333" s="334">
        <v>0.97</v>
      </c>
      <c r="AA333" s="334">
        <v>0.92</v>
      </c>
      <c r="AC333" s="333">
        <v>70</v>
      </c>
      <c r="AD333" s="334">
        <v>1</v>
      </c>
      <c r="AE333" s="334">
        <v>1.01</v>
      </c>
      <c r="AF333" s="335">
        <v>1.01</v>
      </c>
      <c r="AG333" s="334">
        <v>0.99</v>
      </c>
      <c r="AH333" s="334">
        <v>0.95</v>
      </c>
      <c r="AJ333" s="333">
        <v>70</v>
      </c>
      <c r="AK333" s="334">
        <v>1</v>
      </c>
      <c r="AL333" s="334">
        <v>1.03</v>
      </c>
      <c r="AM333" s="335">
        <v>1.04</v>
      </c>
      <c r="AN333" s="334">
        <v>1.03</v>
      </c>
      <c r="AO333" s="334">
        <v>1</v>
      </c>
      <c r="AQ333" s="333">
        <v>70</v>
      </c>
      <c r="AR333" s="334">
        <v>1</v>
      </c>
      <c r="AS333" s="334">
        <v>1.04</v>
      </c>
      <c r="AT333" s="335">
        <v>1.06</v>
      </c>
      <c r="AU333" s="334">
        <v>1.06</v>
      </c>
      <c r="AV333" s="334">
        <v>1.04</v>
      </c>
      <c r="AX333" s="333">
        <v>70</v>
      </c>
      <c r="AY333" s="334">
        <v>1</v>
      </c>
      <c r="AZ333" s="334">
        <v>1.05</v>
      </c>
      <c r="BA333" s="335">
        <v>1.07</v>
      </c>
      <c r="BB333" s="334">
        <v>1.07</v>
      </c>
      <c r="BC333" s="334">
        <v>1.06</v>
      </c>
      <c r="BE333" s="333">
        <v>70</v>
      </c>
      <c r="BF333" s="334">
        <v>1</v>
      </c>
      <c r="BG333" s="334">
        <v>1.04</v>
      </c>
      <c r="BH333" s="335">
        <v>1.07</v>
      </c>
      <c r="BI333" s="334">
        <v>1.07</v>
      </c>
      <c r="BJ333" s="334">
        <v>1.05</v>
      </c>
      <c r="BL333" s="333">
        <v>70</v>
      </c>
      <c r="BM333" s="334">
        <v>1</v>
      </c>
      <c r="BN333" s="334">
        <v>1.03</v>
      </c>
      <c r="BO333" s="335">
        <v>1.04</v>
      </c>
      <c r="BP333" s="334">
        <v>1.03</v>
      </c>
      <c r="BQ333" s="334">
        <v>1</v>
      </c>
      <c r="BS333" s="333">
        <v>70</v>
      </c>
      <c r="BT333" s="334">
        <v>1</v>
      </c>
      <c r="BU333" s="334">
        <v>1.01</v>
      </c>
      <c r="BV333" s="335">
        <v>1.01</v>
      </c>
      <c r="BW333" s="334">
        <v>0.98</v>
      </c>
      <c r="BX333" s="334">
        <v>0.94</v>
      </c>
      <c r="BZ333" s="333">
        <v>70</v>
      </c>
      <c r="CA333" s="334">
        <v>1</v>
      </c>
      <c r="CB333" s="334">
        <v>1</v>
      </c>
      <c r="CC333" s="335">
        <v>0.98</v>
      </c>
      <c r="CD333" s="334">
        <v>0.94</v>
      </c>
      <c r="CE333" s="334">
        <v>0.89</v>
      </c>
      <c r="CG333" s="333">
        <v>70</v>
      </c>
      <c r="CH333" s="334">
        <v>1</v>
      </c>
      <c r="CI333" s="334">
        <v>1</v>
      </c>
      <c r="CJ333" s="335">
        <v>0.97</v>
      </c>
      <c r="CK333" s="334">
        <v>0.93</v>
      </c>
      <c r="CL333" s="334">
        <v>0.87</v>
      </c>
      <c r="CN333" s="333">
        <v>70</v>
      </c>
      <c r="CO333" s="334">
        <v>1</v>
      </c>
      <c r="CP333" s="334">
        <v>0.99</v>
      </c>
      <c r="CQ333" s="335">
        <v>0.97</v>
      </c>
      <c r="CR333" s="334">
        <v>0.93</v>
      </c>
      <c r="CS333" s="334">
        <v>0.88</v>
      </c>
    </row>
    <row r="334" spans="3:97" x14ac:dyDescent="0.25">
      <c r="C334" s="333">
        <v>180</v>
      </c>
      <c r="D334" s="334">
        <v>0.96</v>
      </c>
      <c r="E334" s="334">
        <v>0.92</v>
      </c>
      <c r="F334" s="335">
        <v>0.86</v>
      </c>
      <c r="G334" s="334">
        <v>0.78</v>
      </c>
      <c r="H334" s="334">
        <v>0.69</v>
      </c>
      <c r="I334" s="334">
        <v>0.57999999999999996</v>
      </c>
      <c r="J334" s="334">
        <v>0.48</v>
      </c>
      <c r="K334" s="334">
        <v>0.4</v>
      </c>
      <c r="L334" s="334">
        <v>0.33</v>
      </c>
      <c r="M334" s="334">
        <v>0.27</v>
      </c>
      <c r="O334" s="333">
        <v>80</v>
      </c>
      <c r="P334" s="334">
        <v>1</v>
      </c>
      <c r="Q334" s="334">
        <v>1</v>
      </c>
      <c r="R334" s="335">
        <v>0.99</v>
      </c>
      <c r="S334" s="334">
        <v>0.96</v>
      </c>
      <c r="T334" s="334">
        <v>0.92</v>
      </c>
      <c r="V334" s="333">
        <v>80</v>
      </c>
      <c r="W334" s="334">
        <v>1</v>
      </c>
      <c r="X334" s="334">
        <v>1.01</v>
      </c>
      <c r="Y334" s="335">
        <v>1</v>
      </c>
      <c r="Z334" s="334">
        <v>0.97</v>
      </c>
      <c r="AA334" s="334">
        <v>0.93</v>
      </c>
      <c r="AC334" s="333">
        <v>80</v>
      </c>
      <c r="AD334" s="334">
        <v>1</v>
      </c>
      <c r="AE334" s="334">
        <v>1.01</v>
      </c>
      <c r="AF334" s="335">
        <v>1</v>
      </c>
      <c r="AG334" s="334">
        <v>0.98</v>
      </c>
      <c r="AH334" s="334">
        <v>0.94</v>
      </c>
      <c r="AJ334" s="333">
        <v>80</v>
      </c>
      <c r="AK334" s="334">
        <v>1</v>
      </c>
      <c r="AL334" s="334">
        <v>1.02</v>
      </c>
      <c r="AM334" s="335">
        <v>1.02</v>
      </c>
      <c r="AN334" s="334">
        <v>1</v>
      </c>
      <c r="AO334" s="334">
        <v>0.96</v>
      </c>
      <c r="AQ334" s="333">
        <v>80</v>
      </c>
      <c r="AR334" s="334">
        <v>1</v>
      </c>
      <c r="AS334" s="334">
        <v>1.02</v>
      </c>
      <c r="AT334" s="335">
        <v>1.03</v>
      </c>
      <c r="AU334" s="334">
        <v>1.01</v>
      </c>
      <c r="AV334" s="334">
        <v>0.98</v>
      </c>
      <c r="AX334" s="333">
        <v>80</v>
      </c>
      <c r="AY334" s="334">
        <v>1</v>
      </c>
      <c r="AZ334" s="334">
        <v>1.02</v>
      </c>
      <c r="BA334" s="335">
        <v>1.03</v>
      </c>
      <c r="BB334" s="334">
        <v>1.02</v>
      </c>
      <c r="BC334" s="334">
        <v>0.99</v>
      </c>
      <c r="BE334" s="333">
        <v>80</v>
      </c>
      <c r="BF334" s="334">
        <v>1</v>
      </c>
      <c r="BG334" s="334">
        <v>1.02</v>
      </c>
      <c r="BH334" s="335">
        <v>1.03</v>
      </c>
      <c r="BI334" s="334">
        <v>1.01</v>
      </c>
      <c r="BJ334" s="334">
        <v>0.99</v>
      </c>
      <c r="BL334" s="333">
        <v>80</v>
      </c>
      <c r="BM334" s="334">
        <v>1</v>
      </c>
      <c r="BN334" s="334">
        <v>1.01</v>
      </c>
      <c r="BO334" s="335">
        <v>1.01</v>
      </c>
      <c r="BP334" s="334">
        <v>0.99</v>
      </c>
      <c r="BQ334" s="334">
        <v>0.95</v>
      </c>
      <c r="BS334" s="333">
        <v>80</v>
      </c>
      <c r="BT334" s="334">
        <v>1</v>
      </c>
      <c r="BU334" s="334">
        <v>1</v>
      </c>
      <c r="BV334" s="335">
        <v>0.99</v>
      </c>
      <c r="BW334" s="334">
        <v>0.96</v>
      </c>
      <c r="BX334" s="334">
        <v>0.92</v>
      </c>
      <c r="BZ334" s="333">
        <v>80</v>
      </c>
      <c r="CA334" s="334">
        <v>1</v>
      </c>
      <c r="CB334" s="334">
        <v>1</v>
      </c>
      <c r="CC334" s="335">
        <v>0.98</v>
      </c>
      <c r="CD334" s="334">
        <v>0.95</v>
      </c>
      <c r="CE334" s="334">
        <v>0.89</v>
      </c>
      <c r="CG334" s="333">
        <v>80</v>
      </c>
      <c r="CH334" s="334">
        <v>1</v>
      </c>
      <c r="CI334" s="334">
        <v>1</v>
      </c>
      <c r="CJ334" s="335">
        <v>0.98</v>
      </c>
      <c r="CK334" s="334">
        <v>0.94</v>
      </c>
      <c r="CL334" s="334">
        <v>0.89</v>
      </c>
      <c r="CN334" s="333">
        <v>80</v>
      </c>
      <c r="CO334" s="334">
        <v>1</v>
      </c>
      <c r="CP334" s="334">
        <v>1</v>
      </c>
      <c r="CQ334" s="335">
        <v>0.98</v>
      </c>
      <c r="CR334" s="334">
        <v>0.95</v>
      </c>
      <c r="CS334" s="334">
        <v>0.9</v>
      </c>
    </row>
    <row r="335" spans="3:97" x14ac:dyDescent="0.25">
      <c r="C335" s="333">
        <v>190</v>
      </c>
      <c r="D335" s="334">
        <v>0.96</v>
      </c>
      <c r="E335" s="334">
        <v>0.92</v>
      </c>
      <c r="F335" s="335">
        <v>0.86</v>
      </c>
      <c r="G335" s="334">
        <v>0.78</v>
      </c>
      <c r="H335" s="334">
        <v>0.69</v>
      </c>
      <c r="I335" s="334">
        <v>0.59</v>
      </c>
      <c r="J335" s="334">
        <v>0.48</v>
      </c>
      <c r="K335" s="334">
        <v>0.41</v>
      </c>
      <c r="L335" s="334">
        <v>0.33</v>
      </c>
      <c r="M335" s="334">
        <v>0.27</v>
      </c>
      <c r="O335" s="333">
        <v>90</v>
      </c>
      <c r="P335" s="334">
        <v>1</v>
      </c>
      <c r="Q335" s="334">
        <v>1.01</v>
      </c>
      <c r="R335" s="335">
        <v>1</v>
      </c>
      <c r="S335" s="334">
        <v>0.98</v>
      </c>
      <c r="T335" s="334">
        <v>0.94</v>
      </c>
      <c r="V335" s="333">
        <v>90</v>
      </c>
      <c r="W335" s="334">
        <v>1</v>
      </c>
      <c r="X335" s="334">
        <v>1.01</v>
      </c>
      <c r="Y335" s="335">
        <v>1</v>
      </c>
      <c r="Z335" s="334">
        <v>0.98</v>
      </c>
      <c r="AA335" s="334">
        <v>0.94</v>
      </c>
      <c r="AC335" s="333">
        <v>90</v>
      </c>
      <c r="AD335" s="334">
        <v>1</v>
      </c>
      <c r="AE335" s="334">
        <v>1</v>
      </c>
      <c r="AF335" s="335">
        <v>1</v>
      </c>
      <c r="AG335" s="334">
        <v>0.97</v>
      </c>
      <c r="AH335" s="334">
        <v>0.93</v>
      </c>
      <c r="AJ335" s="333">
        <v>90</v>
      </c>
      <c r="AK335" s="334">
        <v>1</v>
      </c>
      <c r="AL335" s="334">
        <v>1</v>
      </c>
      <c r="AM335" s="335">
        <v>0.99</v>
      </c>
      <c r="AN335" s="334">
        <v>0.96</v>
      </c>
      <c r="AO335" s="334">
        <v>0.92</v>
      </c>
      <c r="AQ335" s="333">
        <v>90</v>
      </c>
      <c r="AR335" s="334">
        <v>1</v>
      </c>
      <c r="AS335" s="334">
        <v>1</v>
      </c>
      <c r="AT335" s="335">
        <v>0.99</v>
      </c>
      <c r="AU335" s="334">
        <v>0.96</v>
      </c>
      <c r="AV335" s="334">
        <v>0.92</v>
      </c>
      <c r="AX335" s="333">
        <v>90</v>
      </c>
      <c r="AY335" s="334">
        <v>1</v>
      </c>
      <c r="AZ335" s="334">
        <v>1</v>
      </c>
      <c r="BA335" s="335">
        <v>0.99</v>
      </c>
      <c r="BB335" s="334">
        <v>0.96</v>
      </c>
      <c r="BC335" s="334">
        <v>0.92</v>
      </c>
      <c r="BE335" s="333">
        <v>90</v>
      </c>
      <c r="BF335" s="334">
        <v>1</v>
      </c>
      <c r="BG335" s="334">
        <v>1</v>
      </c>
      <c r="BH335" s="335">
        <v>0.99</v>
      </c>
      <c r="BI335" s="334">
        <v>0.96</v>
      </c>
      <c r="BJ335" s="334">
        <v>0.91</v>
      </c>
      <c r="BL335" s="333">
        <v>90</v>
      </c>
      <c r="BM335" s="334">
        <v>1</v>
      </c>
      <c r="BN335" s="334">
        <v>1</v>
      </c>
      <c r="BO335" s="335">
        <v>0.98</v>
      </c>
      <c r="BP335" s="334">
        <v>0.95</v>
      </c>
      <c r="BQ335" s="334">
        <v>0.91</v>
      </c>
      <c r="BS335" s="333">
        <v>90</v>
      </c>
      <c r="BT335" s="334">
        <v>1</v>
      </c>
      <c r="BU335" s="334">
        <v>1</v>
      </c>
      <c r="BV335" s="335">
        <v>0.98</v>
      </c>
      <c r="BW335" s="334">
        <v>0.94</v>
      </c>
      <c r="BX335" s="334">
        <v>0.9</v>
      </c>
      <c r="BZ335" s="333">
        <v>90</v>
      </c>
      <c r="CA335" s="334">
        <v>1</v>
      </c>
      <c r="CB335" s="334">
        <v>1</v>
      </c>
      <c r="CC335" s="335">
        <v>0.98</v>
      </c>
      <c r="CD335" s="334">
        <v>0.95</v>
      </c>
      <c r="CE335" s="334">
        <v>0.89</v>
      </c>
      <c r="CG335" s="333">
        <v>90</v>
      </c>
      <c r="CH335" s="334">
        <v>1</v>
      </c>
      <c r="CI335" s="334">
        <v>1</v>
      </c>
      <c r="CJ335" s="335">
        <v>0.99</v>
      </c>
      <c r="CK335" s="334">
        <v>0.96</v>
      </c>
      <c r="CL335" s="334">
        <v>0.91</v>
      </c>
      <c r="CN335" s="333">
        <v>90</v>
      </c>
      <c r="CO335" s="334">
        <v>1</v>
      </c>
      <c r="CP335" s="334">
        <v>1</v>
      </c>
      <c r="CQ335" s="335">
        <v>1</v>
      </c>
      <c r="CR335" s="334">
        <v>0.97</v>
      </c>
      <c r="CS335" s="334">
        <v>0.93</v>
      </c>
    </row>
    <row r="336" spans="3:97" x14ac:dyDescent="0.25">
      <c r="C336" s="333">
        <v>200</v>
      </c>
      <c r="D336" s="334">
        <v>0.96</v>
      </c>
      <c r="E336" s="334">
        <v>0.93</v>
      </c>
      <c r="F336" s="335">
        <v>0.87</v>
      </c>
      <c r="G336" s="334">
        <v>0.79</v>
      </c>
      <c r="H336" s="334">
        <v>0.7</v>
      </c>
      <c r="I336" s="334">
        <v>0.6</v>
      </c>
      <c r="J336" s="334">
        <v>0.5</v>
      </c>
      <c r="K336" s="334">
        <v>0.42</v>
      </c>
      <c r="L336" s="334">
        <v>0.35</v>
      </c>
      <c r="M336" s="334">
        <v>0.28999999999999998</v>
      </c>
      <c r="P336" s="288"/>
      <c r="Q336" s="288"/>
      <c r="R336" s="288"/>
      <c r="S336" s="288"/>
      <c r="T336" s="288"/>
      <c r="W336" s="288"/>
      <c r="X336" s="288"/>
      <c r="Y336" s="288"/>
      <c r="Z336" s="288"/>
      <c r="AA336" s="288"/>
      <c r="AD336" s="288"/>
      <c r="AE336" s="288"/>
      <c r="AF336" s="288"/>
      <c r="AG336" s="288"/>
      <c r="AH336" s="288"/>
      <c r="AK336" s="288"/>
      <c r="AL336" s="288"/>
      <c r="AM336" s="288"/>
      <c r="AN336" s="288"/>
      <c r="AO336" s="288"/>
      <c r="AR336" s="288"/>
      <c r="AS336" s="288"/>
      <c r="AT336" s="288"/>
      <c r="AU336" s="288"/>
      <c r="AV336" s="288"/>
      <c r="AY336" s="288"/>
      <c r="AZ336" s="288"/>
      <c r="BA336" s="288"/>
      <c r="BB336" s="288"/>
      <c r="BC336" s="288"/>
      <c r="BF336" s="288"/>
      <c r="BG336" s="288"/>
      <c r="BH336" s="288"/>
      <c r="BI336" s="288"/>
      <c r="BJ336" s="288"/>
      <c r="BM336" s="288"/>
      <c r="BN336" s="288"/>
      <c r="BO336" s="288"/>
      <c r="BP336" s="288"/>
      <c r="BQ336" s="288"/>
      <c r="BT336" s="288"/>
      <c r="BU336" s="288"/>
      <c r="BV336" s="288"/>
      <c r="BW336" s="288"/>
      <c r="BX336" s="288"/>
      <c r="CA336" s="288"/>
      <c r="CB336" s="288"/>
      <c r="CC336" s="288"/>
      <c r="CD336" s="288"/>
      <c r="CE336" s="288"/>
      <c r="CH336" s="288"/>
      <c r="CI336" s="288"/>
      <c r="CJ336" s="288"/>
      <c r="CK336" s="288"/>
      <c r="CL336" s="288"/>
      <c r="CO336" s="288"/>
      <c r="CP336" s="288"/>
      <c r="CQ336" s="288"/>
      <c r="CR336" s="288"/>
      <c r="CS336" s="288"/>
    </row>
    <row r="337" spans="3:97" x14ac:dyDescent="0.25">
      <c r="C337" s="333">
        <v>210</v>
      </c>
      <c r="D337" s="334">
        <v>0.96</v>
      </c>
      <c r="E337" s="334">
        <v>0.93</v>
      </c>
      <c r="F337" s="335">
        <v>0.87</v>
      </c>
      <c r="G337" s="334">
        <v>0.8</v>
      </c>
      <c r="H337" s="334">
        <v>0.71</v>
      </c>
      <c r="I337" s="334">
        <v>0.63</v>
      </c>
      <c r="J337" s="334">
        <v>0.53</v>
      </c>
      <c r="K337" s="334">
        <v>0.45</v>
      </c>
      <c r="L337" s="334">
        <v>0.38</v>
      </c>
      <c r="M337" s="334">
        <v>0.32</v>
      </c>
      <c r="P337" s="288"/>
      <c r="Q337" s="288"/>
      <c r="R337" s="288"/>
      <c r="S337" s="288"/>
      <c r="T337" s="288"/>
      <c r="W337" s="288"/>
      <c r="X337" s="288"/>
      <c r="Y337" s="288"/>
      <c r="Z337" s="288"/>
      <c r="AA337" s="288"/>
      <c r="AD337" s="288"/>
      <c r="AE337" s="288"/>
      <c r="AF337" s="288"/>
      <c r="AG337" s="288"/>
      <c r="AH337" s="288"/>
      <c r="AK337" s="288"/>
      <c r="AL337" s="288"/>
      <c r="AM337" s="288"/>
      <c r="AN337" s="288"/>
      <c r="AO337" s="288"/>
      <c r="AR337" s="288"/>
      <c r="AS337" s="288"/>
      <c r="AT337" s="288"/>
      <c r="AU337" s="288"/>
      <c r="AV337" s="288"/>
      <c r="AY337" s="288"/>
      <c r="AZ337" s="288"/>
      <c r="BA337" s="288"/>
      <c r="BB337" s="288"/>
      <c r="BC337" s="288"/>
      <c r="BF337" s="288"/>
      <c r="BG337" s="288"/>
      <c r="BH337" s="288"/>
      <c r="BI337" s="288"/>
      <c r="BJ337" s="288"/>
      <c r="BM337" s="288"/>
      <c r="BN337" s="288"/>
      <c r="BO337" s="288"/>
      <c r="BP337" s="288"/>
      <c r="BQ337" s="288"/>
      <c r="BT337" s="288"/>
      <c r="BU337" s="288"/>
      <c r="BV337" s="288"/>
      <c r="BW337" s="288"/>
      <c r="BX337" s="288"/>
      <c r="CA337" s="288"/>
      <c r="CB337" s="288"/>
      <c r="CC337" s="288"/>
      <c r="CD337" s="288"/>
      <c r="CE337" s="288"/>
      <c r="CH337" s="288"/>
      <c r="CI337" s="288"/>
      <c r="CJ337" s="288"/>
      <c r="CK337" s="288"/>
      <c r="CL337" s="288"/>
      <c r="CO337" s="288"/>
      <c r="CP337" s="288"/>
      <c r="CQ337" s="288"/>
      <c r="CR337" s="288"/>
      <c r="CS337" s="288"/>
    </row>
    <row r="338" spans="3:97" x14ac:dyDescent="0.25">
      <c r="C338" s="333">
        <v>220</v>
      </c>
      <c r="D338" s="334">
        <v>0.96</v>
      </c>
      <c r="E338" s="334">
        <v>0.93</v>
      </c>
      <c r="F338" s="335">
        <v>0.88</v>
      </c>
      <c r="G338" s="334">
        <v>0.81</v>
      </c>
      <c r="H338" s="334">
        <v>0.74</v>
      </c>
      <c r="I338" s="334">
        <v>0.65</v>
      </c>
      <c r="J338" s="334">
        <v>0.56999999999999995</v>
      </c>
      <c r="K338" s="334">
        <v>0.49</v>
      </c>
      <c r="L338" s="334">
        <v>0.42</v>
      </c>
      <c r="M338" s="334">
        <v>0.36</v>
      </c>
      <c r="P338" s="288"/>
      <c r="Q338" s="288"/>
      <c r="R338" s="288"/>
      <c r="S338" s="288"/>
      <c r="T338" s="288"/>
      <c r="W338" s="288"/>
      <c r="X338" s="288"/>
      <c r="Y338" s="288"/>
      <c r="Z338" s="288"/>
      <c r="AA338" s="288"/>
      <c r="AD338" s="288"/>
      <c r="AE338" s="288"/>
      <c r="AF338" s="288"/>
      <c r="AG338" s="288"/>
      <c r="AH338" s="288"/>
      <c r="AK338" s="288"/>
      <c r="AL338" s="288"/>
      <c r="AM338" s="288"/>
      <c r="AN338" s="288"/>
      <c r="AO338" s="288"/>
      <c r="AR338" s="288"/>
      <c r="AS338" s="288"/>
      <c r="AT338" s="288"/>
      <c r="AU338" s="288"/>
      <c r="AV338" s="288"/>
      <c r="AY338" s="288"/>
      <c r="AZ338" s="288"/>
      <c r="BA338" s="288"/>
      <c r="BB338" s="288"/>
      <c r="BC338" s="288"/>
      <c r="BF338" s="288"/>
      <c r="BG338" s="288"/>
      <c r="BH338" s="288"/>
      <c r="BI338" s="288"/>
      <c r="BJ338" s="288"/>
      <c r="BM338" s="288"/>
      <c r="BN338" s="288"/>
      <c r="BO338" s="288"/>
      <c r="BP338" s="288"/>
      <c r="BQ338" s="288"/>
      <c r="BT338" s="288"/>
      <c r="BU338" s="288"/>
      <c r="BV338" s="288"/>
      <c r="BW338" s="288"/>
      <c r="BX338" s="288"/>
      <c r="CA338" s="288"/>
      <c r="CB338" s="288"/>
      <c r="CC338" s="288"/>
      <c r="CD338" s="288"/>
      <c r="CE338" s="288"/>
      <c r="CH338" s="288"/>
      <c r="CI338" s="288"/>
      <c r="CJ338" s="288"/>
      <c r="CK338" s="288"/>
      <c r="CL338" s="288"/>
      <c r="CO338" s="288"/>
      <c r="CP338" s="288"/>
      <c r="CQ338" s="288"/>
      <c r="CR338" s="288"/>
      <c r="CS338" s="288"/>
    </row>
    <row r="339" spans="3:97" x14ac:dyDescent="0.25">
      <c r="C339" s="333">
        <v>230</v>
      </c>
      <c r="D339" s="334">
        <v>0.96</v>
      </c>
      <c r="E339" s="334">
        <v>0.93</v>
      </c>
      <c r="F339" s="335">
        <v>0.89</v>
      </c>
      <c r="G339" s="334">
        <v>0.83</v>
      </c>
      <c r="H339" s="334">
        <v>0.76</v>
      </c>
      <c r="I339" s="334">
        <v>0.68</v>
      </c>
      <c r="J339" s="334">
        <v>0.6</v>
      </c>
      <c r="K339" s="334">
        <v>0.53</v>
      </c>
      <c r="L339" s="334">
        <v>0.46</v>
      </c>
      <c r="M339" s="334">
        <v>0.4</v>
      </c>
      <c r="P339" s="288"/>
      <c r="Q339" s="288"/>
      <c r="R339" s="288"/>
      <c r="S339" s="288"/>
      <c r="T339" s="288"/>
      <c r="W339" s="288"/>
      <c r="X339" s="288"/>
      <c r="Y339" s="288"/>
      <c r="Z339" s="288"/>
      <c r="AA339" s="288"/>
      <c r="AD339" s="288"/>
      <c r="AE339" s="288"/>
      <c r="AF339" s="288"/>
      <c r="AG339" s="288"/>
      <c r="AH339" s="288"/>
      <c r="AK339" s="288"/>
      <c r="AL339" s="288"/>
      <c r="AM339" s="288"/>
      <c r="AN339" s="288"/>
      <c r="AO339" s="288"/>
      <c r="AR339" s="288"/>
      <c r="AS339" s="288"/>
      <c r="AT339" s="288"/>
      <c r="AU339" s="288"/>
      <c r="AV339" s="288"/>
      <c r="AY339" s="288"/>
      <c r="AZ339" s="288"/>
      <c r="BA339" s="288"/>
      <c r="BB339" s="288"/>
      <c r="BC339" s="288"/>
      <c r="BF339" s="288"/>
      <c r="BG339" s="288"/>
      <c r="BH339" s="288"/>
      <c r="BI339" s="288"/>
      <c r="BJ339" s="288"/>
      <c r="BM339" s="288"/>
      <c r="BN339" s="288"/>
      <c r="BO339" s="288"/>
      <c r="BP339" s="288"/>
      <c r="BQ339" s="288"/>
      <c r="BT339" s="288"/>
      <c r="BU339" s="288"/>
      <c r="BV339" s="288"/>
      <c r="BW339" s="288"/>
      <c r="BX339" s="288"/>
      <c r="CA339" s="288"/>
      <c r="CB339" s="288"/>
      <c r="CC339" s="288"/>
      <c r="CD339" s="288"/>
      <c r="CE339" s="288"/>
      <c r="CH339" s="288"/>
      <c r="CI339" s="288"/>
      <c r="CJ339" s="288"/>
      <c r="CK339" s="288"/>
      <c r="CL339" s="288"/>
      <c r="CO339" s="288"/>
      <c r="CP339" s="288"/>
      <c r="CQ339" s="288"/>
      <c r="CR339" s="288"/>
      <c r="CS339" s="288"/>
    </row>
    <row r="340" spans="3:97" x14ac:dyDescent="0.25">
      <c r="C340" s="333">
        <v>240</v>
      </c>
      <c r="D340" s="334">
        <v>0.96</v>
      </c>
      <c r="E340" s="334">
        <v>0.94</v>
      </c>
      <c r="F340" s="335">
        <v>0.9</v>
      </c>
      <c r="G340" s="334">
        <v>0.85</v>
      </c>
      <c r="H340" s="334">
        <v>0.78</v>
      </c>
      <c r="I340" s="334">
        <v>0.71</v>
      </c>
      <c r="J340" s="334">
        <v>0.64</v>
      </c>
      <c r="K340" s="334">
        <v>0.56999999999999995</v>
      </c>
      <c r="L340" s="334">
        <v>0.5</v>
      </c>
      <c r="M340" s="334">
        <v>0.44</v>
      </c>
      <c r="P340" s="288"/>
      <c r="Q340" s="288"/>
      <c r="R340" s="288"/>
      <c r="S340" s="288"/>
      <c r="T340" s="288"/>
      <c r="W340" s="288"/>
      <c r="X340" s="288"/>
      <c r="Y340" s="288"/>
      <c r="Z340" s="288"/>
      <c r="AA340" s="288"/>
      <c r="AD340" s="288"/>
      <c r="AE340" s="288"/>
      <c r="AF340" s="288"/>
      <c r="AG340" s="288"/>
      <c r="AH340" s="288"/>
      <c r="AK340" s="288"/>
      <c r="AL340" s="288"/>
      <c r="AM340" s="288"/>
      <c r="AN340" s="288"/>
      <c r="AO340" s="288"/>
      <c r="AR340" s="288"/>
      <c r="AS340" s="288"/>
      <c r="AT340" s="288"/>
      <c r="AU340" s="288"/>
      <c r="AV340" s="288"/>
      <c r="AY340" s="288"/>
      <c r="AZ340" s="288"/>
      <c r="BA340" s="288"/>
      <c r="BB340" s="288"/>
      <c r="BC340" s="288"/>
      <c r="BF340" s="288"/>
      <c r="BG340" s="288"/>
      <c r="BH340" s="288"/>
      <c r="BI340" s="288"/>
      <c r="BJ340" s="288"/>
      <c r="BM340" s="288"/>
      <c r="BN340" s="288"/>
      <c r="BO340" s="288"/>
      <c r="BP340" s="288"/>
      <c r="BQ340" s="288"/>
      <c r="BT340" s="288"/>
      <c r="BU340" s="288"/>
      <c r="BV340" s="288"/>
      <c r="BW340" s="288"/>
      <c r="BX340" s="288"/>
      <c r="CA340" s="288"/>
      <c r="CB340" s="288"/>
      <c r="CC340" s="288"/>
      <c r="CD340" s="288"/>
      <c r="CE340" s="288"/>
      <c r="CH340" s="288"/>
      <c r="CI340" s="288"/>
      <c r="CJ340" s="288"/>
      <c r="CK340" s="288"/>
      <c r="CL340" s="288"/>
      <c r="CO340" s="288"/>
      <c r="CP340" s="288"/>
      <c r="CQ340" s="288"/>
      <c r="CR340" s="288"/>
      <c r="CS340" s="288"/>
    </row>
    <row r="341" spans="3:97" x14ac:dyDescent="0.25">
      <c r="C341" s="333">
        <v>250</v>
      </c>
      <c r="D341" s="334">
        <v>0.96</v>
      </c>
      <c r="E341" s="334">
        <v>0.94</v>
      </c>
      <c r="F341" s="335">
        <v>0.91</v>
      </c>
      <c r="G341" s="334">
        <v>0.86</v>
      </c>
      <c r="H341" s="334">
        <v>0.81</v>
      </c>
      <c r="I341" s="334">
        <v>0.74</v>
      </c>
      <c r="J341" s="334">
        <v>0.67</v>
      </c>
      <c r="K341" s="334">
        <v>0.61</v>
      </c>
      <c r="L341" s="334">
        <v>0.54</v>
      </c>
      <c r="M341" s="334">
        <v>0.47</v>
      </c>
      <c r="P341" s="288"/>
      <c r="Q341" s="288"/>
      <c r="R341" s="288"/>
      <c r="S341" s="288"/>
      <c r="T341" s="288"/>
      <c r="W341" s="288"/>
      <c r="X341" s="288"/>
      <c r="Y341" s="288"/>
      <c r="Z341" s="288"/>
      <c r="AA341" s="288"/>
      <c r="AD341" s="288"/>
      <c r="AE341" s="288"/>
      <c r="AF341" s="288"/>
      <c r="AG341" s="288"/>
      <c r="AH341" s="288"/>
      <c r="AK341" s="288"/>
      <c r="AL341" s="288"/>
      <c r="AM341" s="288"/>
      <c r="AN341" s="288"/>
      <c r="AO341" s="288"/>
      <c r="AR341" s="288"/>
      <c r="AS341" s="288"/>
      <c r="AT341" s="288"/>
      <c r="AU341" s="288"/>
      <c r="AV341" s="288"/>
      <c r="AY341" s="288"/>
      <c r="AZ341" s="288"/>
      <c r="BA341" s="288"/>
      <c r="BB341" s="288"/>
      <c r="BC341" s="288"/>
      <c r="BF341" s="288"/>
      <c r="BG341" s="288"/>
      <c r="BH341" s="288"/>
      <c r="BI341" s="288"/>
      <c r="BJ341" s="288"/>
      <c r="BM341" s="288"/>
      <c r="BN341" s="288"/>
      <c r="BO341" s="288"/>
      <c r="BP341" s="288"/>
      <c r="BQ341" s="288"/>
      <c r="BT341" s="288"/>
      <c r="BU341" s="288"/>
      <c r="BV341" s="288"/>
      <c r="BW341" s="288"/>
      <c r="BX341" s="288"/>
      <c r="CA341" s="288"/>
      <c r="CB341" s="288"/>
      <c r="CC341" s="288"/>
      <c r="CD341" s="288"/>
      <c r="CE341" s="288"/>
      <c r="CH341" s="288"/>
      <c r="CI341" s="288"/>
      <c r="CJ341" s="288"/>
      <c r="CK341" s="288"/>
      <c r="CL341" s="288"/>
      <c r="CO341" s="288"/>
      <c r="CP341" s="288"/>
      <c r="CQ341" s="288"/>
      <c r="CR341" s="288"/>
      <c r="CS341" s="288"/>
    </row>
    <row r="342" spans="3:97" x14ac:dyDescent="0.25">
      <c r="C342" s="333">
        <v>260</v>
      </c>
      <c r="D342" s="334">
        <v>0.96</v>
      </c>
      <c r="E342" s="334">
        <v>0.95</v>
      </c>
      <c r="F342" s="335">
        <v>0.92</v>
      </c>
      <c r="G342" s="334">
        <v>0.88</v>
      </c>
      <c r="H342" s="334">
        <v>0.83</v>
      </c>
      <c r="I342" s="334">
        <v>0.77</v>
      </c>
      <c r="J342" s="334">
        <v>0.7</v>
      </c>
      <c r="K342" s="334">
        <v>0.64</v>
      </c>
      <c r="L342" s="334">
        <v>0.56999999999999995</v>
      </c>
      <c r="M342" s="334">
        <v>0.5</v>
      </c>
      <c r="P342" s="288"/>
      <c r="Q342" s="288"/>
      <c r="R342" s="288"/>
      <c r="S342" s="288"/>
      <c r="T342" s="288"/>
      <c r="W342" s="288"/>
      <c r="X342" s="288"/>
      <c r="Y342" s="288"/>
      <c r="Z342" s="288"/>
      <c r="AA342" s="288"/>
      <c r="AD342" s="288"/>
      <c r="AE342" s="288"/>
      <c r="AF342" s="288"/>
      <c r="AG342" s="288"/>
      <c r="AH342" s="288"/>
      <c r="AK342" s="288"/>
      <c r="AL342" s="288"/>
      <c r="AM342" s="288"/>
      <c r="AN342" s="288"/>
      <c r="AO342" s="288"/>
      <c r="AR342" s="288"/>
      <c r="AS342" s="288"/>
      <c r="AT342" s="288"/>
      <c r="AU342" s="288"/>
      <c r="AV342" s="288"/>
      <c r="AY342" s="288"/>
      <c r="AZ342" s="288"/>
      <c r="BA342" s="288"/>
      <c r="BB342" s="288"/>
      <c r="BC342" s="288"/>
      <c r="BF342" s="288"/>
      <c r="BG342" s="288"/>
      <c r="BH342" s="288"/>
      <c r="BI342" s="288"/>
      <c r="BJ342" s="288"/>
      <c r="BM342" s="288"/>
      <c r="BN342" s="288"/>
      <c r="BO342" s="288"/>
      <c r="BP342" s="288"/>
      <c r="BQ342" s="288"/>
      <c r="BT342" s="288"/>
      <c r="BU342" s="288"/>
      <c r="BV342" s="288"/>
      <c r="BW342" s="288"/>
      <c r="BX342" s="288"/>
      <c r="CA342" s="288"/>
      <c r="CB342" s="288"/>
      <c r="CC342" s="288"/>
      <c r="CD342" s="288"/>
      <c r="CE342" s="288"/>
      <c r="CH342" s="288"/>
      <c r="CI342" s="288"/>
      <c r="CJ342" s="288"/>
      <c r="CK342" s="288"/>
      <c r="CL342" s="288"/>
      <c r="CO342" s="288"/>
      <c r="CP342" s="288"/>
      <c r="CQ342" s="288"/>
      <c r="CR342" s="288"/>
      <c r="CS342" s="288"/>
    </row>
    <row r="343" spans="3:97" x14ac:dyDescent="0.25">
      <c r="C343" s="333">
        <v>270</v>
      </c>
      <c r="D343" s="334">
        <v>0.96</v>
      </c>
      <c r="E343" s="334">
        <v>0.96</v>
      </c>
      <c r="F343" s="335">
        <v>0.93</v>
      </c>
      <c r="G343" s="334">
        <v>0.9</v>
      </c>
      <c r="H343" s="334">
        <v>0.85</v>
      </c>
      <c r="I343" s="334">
        <v>0.79</v>
      </c>
      <c r="J343" s="334">
        <v>0.73</v>
      </c>
      <c r="K343" s="334">
        <v>0.67</v>
      </c>
      <c r="L343" s="334">
        <v>0.6</v>
      </c>
      <c r="M343" s="334">
        <v>0.52</v>
      </c>
      <c r="P343" s="288"/>
      <c r="Q343" s="288"/>
      <c r="R343" s="288"/>
      <c r="S343" s="288"/>
      <c r="T343" s="288"/>
      <c r="W343" s="288"/>
      <c r="X343" s="288"/>
      <c r="Y343" s="288"/>
      <c r="Z343" s="288"/>
      <c r="AA343" s="288"/>
      <c r="AD343" s="288"/>
      <c r="AE343" s="288"/>
      <c r="AF343" s="288"/>
      <c r="AG343" s="288"/>
      <c r="AH343" s="288"/>
      <c r="AK343" s="288"/>
      <c r="AL343" s="288"/>
      <c r="AM343" s="288"/>
      <c r="AN343" s="288"/>
      <c r="AO343" s="288"/>
      <c r="AR343" s="288"/>
      <c r="AS343" s="288"/>
      <c r="AT343" s="288"/>
      <c r="AU343" s="288"/>
      <c r="AV343" s="288"/>
      <c r="AY343" s="288"/>
      <c r="AZ343" s="288"/>
      <c r="BA343" s="288"/>
      <c r="BB343" s="288"/>
      <c r="BC343" s="288"/>
      <c r="BF343" s="288"/>
      <c r="BG343" s="288"/>
      <c r="BH343" s="288"/>
      <c r="BI343" s="288"/>
      <c r="BJ343" s="288"/>
      <c r="BM343" s="288"/>
      <c r="BN343" s="288"/>
      <c r="BO343" s="288"/>
      <c r="BP343" s="288"/>
      <c r="BQ343" s="288"/>
      <c r="BT343" s="288"/>
      <c r="BU343" s="288"/>
      <c r="BV343" s="288"/>
      <c r="BW343" s="288"/>
      <c r="BX343" s="288"/>
      <c r="CA343" s="288"/>
      <c r="CB343" s="288"/>
      <c r="CC343" s="288"/>
      <c r="CD343" s="288"/>
      <c r="CE343" s="288"/>
      <c r="CH343" s="288"/>
      <c r="CI343" s="288"/>
      <c r="CJ343" s="288"/>
      <c r="CK343" s="288"/>
      <c r="CL343" s="288"/>
      <c r="CO343" s="288"/>
      <c r="CP343" s="288"/>
      <c r="CQ343" s="288"/>
      <c r="CR343" s="288"/>
      <c r="CS343" s="288"/>
    </row>
    <row r="344" spans="3:97" x14ac:dyDescent="0.25">
      <c r="C344" s="333">
        <v>280</v>
      </c>
      <c r="D344" s="334">
        <v>0.96</v>
      </c>
      <c r="E344" s="334">
        <v>0.96</v>
      </c>
      <c r="F344" s="335">
        <v>0.95</v>
      </c>
      <c r="G344" s="334">
        <v>0.91</v>
      </c>
      <c r="H344" s="334">
        <v>0.87</v>
      </c>
      <c r="I344" s="334">
        <v>0.81</v>
      </c>
      <c r="J344" s="334">
        <v>0.75</v>
      </c>
      <c r="K344" s="334">
        <v>0.68</v>
      </c>
      <c r="L344" s="334">
        <v>0.61</v>
      </c>
      <c r="M344" s="334">
        <v>0.54</v>
      </c>
      <c r="P344" s="288"/>
      <c r="Q344" s="288"/>
      <c r="R344" s="288"/>
      <c r="S344" s="288"/>
      <c r="T344" s="288"/>
      <c r="W344" s="288"/>
      <c r="X344" s="288"/>
      <c r="Y344" s="288"/>
      <c r="Z344" s="288"/>
      <c r="AA344" s="288"/>
      <c r="AD344" s="288"/>
      <c r="AE344" s="288"/>
      <c r="AF344" s="288"/>
      <c r="AG344" s="288"/>
      <c r="AH344" s="288"/>
      <c r="AK344" s="288"/>
      <c r="AL344" s="288"/>
      <c r="AM344" s="288"/>
      <c r="AN344" s="288"/>
      <c r="AO344" s="288"/>
      <c r="AR344" s="288"/>
      <c r="AS344" s="288"/>
      <c r="AT344" s="288"/>
      <c r="AU344" s="288"/>
      <c r="AV344" s="288"/>
      <c r="AY344" s="288"/>
      <c r="AZ344" s="288"/>
      <c r="BA344" s="288"/>
      <c r="BB344" s="288"/>
      <c r="BC344" s="288"/>
      <c r="BF344" s="288"/>
      <c r="BG344" s="288"/>
      <c r="BH344" s="288"/>
      <c r="BI344" s="288"/>
      <c r="BJ344" s="288"/>
      <c r="BM344" s="288"/>
      <c r="BN344" s="288"/>
      <c r="BO344" s="288"/>
      <c r="BP344" s="288"/>
      <c r="BQ344" s="288"/>
      <c r="BT344" s="288"/>
      <c r="BU344" s="288"/>
      <c r="BV344" s="288"/>
      <c r="BW344" s="288"/>
      <c r="BX344" s="288"/>
      <c r="CA344" s="288"/>
      <c r="CB344" s="288"/>
      <c r="CC344" s="288"/>
      <c r="CD344" s="288"/>
      <c r="CE344" s="288"/>
      <c r="CH344" s="288"/>
      <c r="CI344" s="288"/>
      <c r="CJ344" s="288"/>
      <c r="CK344" s="288"/>
      <c r="CL344" s="288"/>
      <c r="CO344" s="288"/>
      <c r="CP344" s="288"/>
      <c r="CQ344" s="288"/>
      <c r="CR344" s="288"/>
      <c r="CS344" s="288"/>
    </row>
    <row r="345" spans="3:97" x14ac:dyDescent="0.25">
      <c r="C345" s="333">
        <v>290</v>
      </c>
      <c r="D345" s="334">
        <v>0.96</v>
      </c>
      <c r="E345" s="334">
        <v>0.97</v>
      </c>
      <c r="F345" s="335">
        <v>0.96</v>
      </c>
      <c r="G345" s="334">
        <v>0.93</v>
      </c>
      <c r="H345" s="334">
        <v>0.89</v>
      </c>
      <c r="I345" s="334">
        <v>0.83</v>
      </c>
      <c r="J345" s="334">
        <v>0.77</v>
      </c>
      <c r="K345" s="334">
        <v>0.7</v>
      </c>
      <c r="L345" s="334">
        <v>0.62</v>
      </c>
      <c r="M345" s="334">
        <v>0.55000000000000004</v>
      </c>
      <c r="P345" s="288"/>
      <c r="Q345" s="288"/>
      <c r="R345" s="288"/>
      <c r="S345" s="288"/>
      <c r="T345" s="288"/>
      <c r="W345" s="288"/>
      <c r="X345" s="288"/>
      <c r="Y345" s="288"/>
      <c r="Z345" s="288"/>
      <c r="AA345" s="288"/>
      <c r="AD345" s="288"/>
      <c r="AE345" s="288"/>
      <c r="AF345" s="288"/>
      <c r="AG345" s="288"/>
      <c r="AH345" s="288"/>
      <c r="AK345" s="288"/>
      <c r="AL345" s="288"/>
      <c r="AM345" s="288"/>
      <c r="AN345" s="288"/>
      <c r="AO345" s="288"/>
      <c r="AR345" s="288"/>
      <c r="AS345" s="288"/>
      <c r="AT345" s="288"/>
      <c r="AU345" s="288"/>
      <c r="AV345" s="288"/>
      <c r="AY345" s="288"/>
      <c r="AZ345" s="288"/>
      <c r="BA345" s="288"/>
      <c r="BB345" s="288"/>
      <c r="BC345" s="288"/>
      <c r="BF345" s="288"/>
      <c r="BG345" s="288"/>
      <c r="BH345" s="288"/>
      <c r="BI345" s="288"/>
      <c r="BJ345" s="288"/>
      <c r="BM345" s="288"/>
      <c r="BN345" s="288"/>
      <c r="BO345" s="288"/>
      <c r="BP345" s="288"/>
      <c r="BQ345" s="288"/>
      <c r="BT345" s="288"/>
      <c r="BU345" s="288"/>
      <c r="BV345" s="288"/>
      <c r="BW345" s="288"/>
      <c r="BX345" s="288"/>
      <c r="CA345" s="288"/>
      <c r="CB345" s="288"/>
      <c r="CC345" s="288"/>
      <c r="CD345" s="288"/>
      <c r="CE345" s="288"/>
      <c r="CH345" s="288"/>
      <c r="CI345" s="288"/>
      <c r="CJ345" s="288"/>
      <c r="CK345" s="288"/>
      <c r="CL345" s="288"/>
      <c r="CO345" s="288"/>
      <c r="CP345" s="288"/>
      <c r="CQ345" s="288"/>
      <c r="CR345" s="288"/>
      <c r="CS345" s="288"/>
    </row>
    <row r="346" spans="3:97" x14ac:dyDescent="0.25">
      <c r="C346" s="333">
        <v>300</v>
      </c>
      <c r="D346" s="334">
        <v>0.96</v>
      </c>
      <c r="E346" s="334">
        <v>0.97</v>
      </c>
      <c r="F346" s="335">
        <v>0.96</v>
      </c>
      <c r="G346" s="334">
        <v>0.94</v>
      </c>
      <c r="H346" s="334">
        <v>0.9</v>
      </c>
      <c r="I346" s="334">
        <v>0.84</v>
      </c>
      <c r="J346" s="334">
        <v>0.78</v>
      </c>
      <c r="K346" s="334">
        <v>0.7</v>
      </c>
      <c r="L346" s="334">
        <v>0.63</v>
      </c>
      <c r="M346" s="334">
        <v>0.55000000000000004</v>
      </c>
      <c r="P346" s="288"/>
      <c r="Q346" s="288"/>
      <c r="R346" s="288"/>
      <c r="S346" s="288"/>
      <c r="T346" s="288"/>
      <c r="W346" s="288"/>
      <c r="X346" s="288"/>
      <c r="Y346" s="288"/>
      <c r="Z346" s="288"/>
      <c r="AA346" s="288"/>
      <c r="AD346" s="288"/>
      <c r="AE346" s="288"/>
      <c r="AF346" s="288"/>
      <c r="AG346" s="288"/>
      <c r="AH346" s="288"/>
      <c r="AK346" s="288"/>
      <c r="AL346" s="288"/>
      <c r="AM346" s="288"/>
      <c r="AN346" s="288"/>
      <c r="AO346" s="288"/>
      <c r="AR346" s="288"/>
      <c r="AS346" s="288"/>
      <c r="AT346" s="288"/>
      <c r="AU346" s="288"/>
      <c r="AV346" s="288"/>
      <c r="AY346" s="288"/>
      <c r="AZ346" s="288"/>
      <c r="BA346" s="288"/>
      <c r="BB346" s="288"/>
      <c r="BC346" s="288"/>
      <c r="BF346" s="288"/>
      <c r="BG346" s="288"/>
      <c r="BH346" s="288"/>
      <c r="BI346" s="288"/>
      <c r="BJ346" s="288"/>
      <c r="BM346" s="288"/>
      <c r="BN346" s="288"/>
      <c r="BO346" s="288"/>
      <c r="BP346" s="288"/>
      <c r="BQ346" s="288"/>
      <c r="BT346" s="288"/>
      <c r="BU346" s="288"/>
      <c r="BV346" s="288"/>
      <c r="BW346" s="288"/>
      <c r="BX346" s="288"/>
      <c r="CA346" s="288"/>
      <c r="CB346" s="288"/>
      <c r="CC346" s="288"/>
      <c r="CD346" s="288"/>
      <c r="CE346" s="288"/>
      <c r="CH346" s="288"/>
      <c r="CI346" s="288"/>
      <c r="CJ346" s="288"/>
      <c r="CK346" s="288"/>
      <c r="CL346" s="288"/>
      <c r="CO346" s="288"/>
      <c r="CP346" s="288"/>
      <c r="CQ346" s="288"/>
      <c r="CR346" s="288"/>
      <c r="CS346" s="288"/>
    </row>
    <row r="347" spans="3:97" x14ac:dyDescent="0.25">
      <c r="C347" s="333">
        <v>310</v>
      </c>
      <c r="D347" s="334">
        <v>0.96</v>
      </c>
      <c r="E347" s="334">
        <v>0.98</v>
      </c>
      <c r="F347" s="335">
        <v>0.97</v>
      </c>
      <c r="G347" s="334">
        <v>0.95</v>
      </c>
      <c r="H347" s="334">
        <v>0.91</v>
      </c>
      <c r="I347" s="334">
        <v>0.85</v>
      </c>
      <c r="J347" s="334">
        <v>0.78</v>
      </c>
      <c r="K347" s="334">
        <v>0.7</v>
      </c>
      <c r="L347" s="334">
        <v>0.62</v>
      </c>
      <c r="M347" s="334">
        <v>0.54</v>
      </c>
      <c r="P347" s="288"/>
      <c r="Q347" s="288"/>
      <c r="R347" s="288"/>
      <c r="S347" s="288"/>
      <c r="T347" s="288"/>
      <c r="W347" s="288"/>
      <c r="X347" s="288"/>
      <c r="Y347" s="288"/>
      <c r="Z347" s="288"/>
      <c r="AA347" s="288"/>
      <c r="AD347" s="288"/>
      <c r="AE347" s="288"/>
      <c r="AF347" s="288"/>
      <c r="AG347" s="288"/>
      <c r="AH347" s="288"/>
      <c r="AK347" s="288"/>
      <c r="AL347" s="288"/>
      <c r="AM347" s="288"/>
      <c r="AN347" s="288"/>
      <c r="AO347" s="288"/>
      <c r="AR347" s="288"/>
      <c r="AS347" s="288"/>
      <c r="AT347" s="288"/>
      <c r="AU347" s="288"/>
      <c r="AV347" s="288"/>
      <c r="AY347" s="288"/>
      <c r="AZ347" s="288"/>
      <c r="BA347" s="288"/>
      <c r="BB347" s="288"/>
      <c r="BC347" s="288"/>
      <c r="BF347" s="288"/>
      <c r="BG347" s="288"/>
      <c r="BH347" s="288"/>
      <c r="BI347" s="288"/>
      <c r="BJ347" s="288"/>
      <c r="BM347" s="288"/>
      <c r="BN347" s="288"/>
      <c r="BO347" s="288"/>
      <c r="BP347" s="288"/>
      <c r="BQ347" s="288"/>
      <c r="BT347" s="288"/>
      <c r="BU347" s="288"/>
      <c r="BV347" s="288"/>
      <c r="BW347" s="288"/>
      <c r="BX347" s="288"/>
      <c r="CA347" s="288"/>
      <c r="CB347" s="288"/>
      <c r="CC347" s="288"/>
      <c r="CD347" s="288"/>
      <c r="CE347" s="288"/>
      <c r="CH347" s="288"/>
      <c r="CI347" s="288"/>
      <c r="CJ347" s="288"/>
      <c r="CK347" s="288"/>
      <c r="CL347" s="288"/>
      <c r="CO347" s="288"/>
      <c r="CP347" s="288"/>
      <c r="CQ347" s="288"/>
      <c r="CR347" s="288"/>
      <c r="CS347" s="288"/>
    </row>
    <row r="348" spans="3:97" x14ac:dyDescent="0.25">
      <c r="C348" s="333">
        <v>320</v>
      </c>
      <c r="D348" s="334">
        <v>0.96</v>
      </c>
      <c r="E348" s="334">
        <v>0.98</v>
      </c>
      <c r="F348" s="335">
        <v>0.98</v>
      </c>
      <c r="G348" s="334">
        <v>0.96</v>
      </c>
      <c r="H348" s="334">
        <v>0.92</v>
      </c>
      <c r="I348" s="334">
        <v>0.86</v>
      </c>
      <c r="J348" s="334">
        <v>0.78</v>
      </c>
      <c r="K348" s="334">
        <v>0.7</v>
      </c>
      <c r="L348" s="334">
        <v>0.61</v>
      </c>
      <c r="M348" s="334">
        <v>0.52</v>
      </c>
      <c r="P348" s="288"/>
      <c r="Q348" s="288"/>
      <c r="R348" s="288"/>
      <c r="S348" s="288"/>
      <c r="T348" s="288"/>
      <c r="W348" s="288"/>
      <c r="X348" s="288"/>
      <c r="Y348" s="288"/>
      <c r="Z348" s="288"/>
      <c r="AA348" s="288"/>
      <c r="AD348" s="288"/>
      <c r="AE348" s="288"/>
      <c r="AF348" s="288"/>
      <c r="AG348" s="288"/>
      <c r="AH348" s="288"/>
      <c r="AK348" s="288"/>
      <c r="AL348" s="288"/>
      <c r="AM348" s="288"/>
      <c r="AN348" s="288"/>
      <c r="AO348" s="288"/>
      <c r="AR348" s="288"/>
      <c r="AS348" s="288"/>
      <c r="AT348" s="288"/>
      <c r="AU348" s="288"/>
      <c r="AV348" s="288"/>
      <c r="AY348" s="288"/>
      <c r="AZ348" s="288"/>
      <c r="BA348" s="288"/>
      <c r="BB348" s="288"/>
      <c r="BC348" s="288"/>
      <c r="BF348" s="288"/>
      <c r="BG348" s="288"/>
      <c r="BH348" s="288"/>
      <c r="BI348" s="288"/>
      <c r="BJ348" s="288"/>
      <c r="BM348" s="288"/>
      <c r="BN348" s="288"/>
      <c r="BO348" s="288"/>
      <c r="BP348" s="288"/>
      <c r="BQ348" s="288"/>
      <c r="BT348" s="288"/>
      <c r="BU348" s="288"/>
      <c r="BV348" s="288"/>
      <c r="BW348" s="288"/>
      <c r="BX348" s="288"/>
      <c r="CA348" s="288"/>
      <c r="CB348" s="288"/>
      <c r="CC348" s="288"/>
      <c r="CD348" s="288"/>
      <c r="CE348" s="288"/>
      <c r="CH348" s="288"/>
      <c r="CI348" s="288"/>
      <c r="CJ348" s="288"/>
      <c r="CK348" s="288"/>
      <c r="CL348" s="288"/>
      <c r="CO348" s="288"/>
      <c r="CP348" s="288"/>
      <c r="CQ348" s="288"/>
      <c r="CR348" s="288"/>
      <c r="CS348" s="288"/>
    </row>
    <row r="349" spans="3:97" x14ac:dyDescent="0.25">
      <c r="C349" s="333">
        <v>330</v>
      </c>
      <c r="D349" s="334">
        <v>0.96</v>
      </c>
      <c r="E349" s="334">
        <v>0.99</v>
      </c>
      <c r="F349" s="335">
        <v>0.99</v>
      </c>
      <c r="G349" s="334">
        <v>0.97</v>
      </c>
      <c r="H349" s="334">
        <v>0.93</v>
      </c>
      <c r="I349" s="334">
        <v>0.86</v>
      </c>
      <c r="J349" s="334">
        <v>0.78</v>
      </c>
      <c r="K349" s="334">
        <v>0.7</v>
      </c>
      <c r="L349" s="334">
        <v>0.6</v>
      </c>
      <c r="M349" s="334">
        <v>0.51</v>
      </c>
      <c r="P349" s="288"/>
      <c r="Q349" s="288"/>
      <c r="R349" s="288"/>
      <c r="S349" s="288"/>
      <c r="T349" s="288"/>
      <c r="W349" s="288"/>
      <c r="X349" s="288"/>
      <c r="Y349" s="288"/>
      <c r="Z349" s="288"/>
      <c r="AA349" s="288"/>
      <c r="AD349" s="288"/>
      <c r="AE349" s="288"/>
      <c r="AF349" s="288"/>
      <c r="AG349" s="288"/>
      <c r="AH349" s="288"/>
      <c r="AK349" s="288"/>
      <c r="AL349" s="288"/>
      <c r="AM349" s="288"/>
      <c r="AN349" s="288"/>
      <c r="AO349" s="288"/>
      <c r="AR349" s="288"/>
      <c r="AS349" s="288"/>
      <c r="AT349" s="288"/>
      <c r="AU349" s="288"/>
      <c r="AV349" s="288"/>
      <c r="AY349" s="288"/>
      <c r="AZ349" s="288"/>
      <c r="BA349" s="288"/>
      <c r="BB349" s="288"/>
      <c r="BC349" s="288"/>
      <c r="BF349" s="288"/>
      <c r="BG349" s="288"/>
      <c r="BH349" s="288"/>
      <c r="BI349" s="288"/>
      <c r="BJ349" s="288"/>
      <c r="BM349" s="288"/>
      <c r="BN349" s="288"/>
      <c r="BO349" s="288"/>
      <c r="BP349" s="288"/>
      <c r="BQ349" s="288"/>
      <c r="BT349" s="288"/>
      <c r="BU349" s="288"/>
      <c r="BV349" s="288"/>
      <c r="BW349" s="288"/>
      <c r="BX349" s="288"/>
      <c r="CA349" s="288"/>
      <c r="CB349" s="288"/>
      <c r="CC349" s="288"/>
      <c r="CD349" s="288"/>
      <c r="CE349" s="288"/>
      <c r="CH349" s="288"/>
      <c r="CI349" s="288"/>
      <c r="CJ349" s="288"/>
      <c r="CK349" s="288"/>
      <c r="CL349" s="288"/>
      <c r="CO349" s="288"/>
      <c r="CP349" s="288"/>
      <c r="CQ349" s="288"/>
      <c r="CR349" s="288"/>
      <c r="CS349" s="288"/>
    </row>
    <row r="350" spans="3:97" x14ac:dyDescent="0.25">
      <c r="C350" s="333">
        <v>340</v>
      </c>
      <c r="D350" s="334">
        <v>0.96</v>
      </c>
      <c r="E350" s="334">
        <v>0.99</v>
      </c>
      <c r="F350" s="335">
        <v>1</v>
      </c>
      <c r="G350" s="334">
        <v>0.98</v>
      </c>
      <c r="H350" s="334">
        <v>0.93</v>
      </c>
      <c r="I350" s="334">
        <v>0.87</v>
      </c>
      <c r="J350" s="334">
        <v>0.79</v>
      </c>
      <c r="K350" s="334">
        <v>0.69</v>
      </c>
      <c r="L350" s="334">
        <v>0.59</v>
      </c>
      <c r="M350" s="334">
        <v>0.49</v>
      </c>
      <c r="P350" s="288"/>
      <c r="Q350" s="288"/>
      <c r="R350" s="288"/>
      <c r="S350" s="288"/>
      <c r="T350" s="288"/>
      <c r="W350" s="288"/>
      <c r="X350" s="288"/>
      <c r="Y350" s="288"/>
      <c r="Z350" s="288"/>
      <c r="AA350" s="288"/>
      <c r="AD350" s="288"/>
      <c r="AE350" s="288"/>
      <c r="AF350" s="288"/>
      <c r="AG350" s="288"/>
      <c r="AH350" s="288"/>
      <c r="AK350" s="288"/>
      <c r="AL350" s="288"/>
      <c r="AM350" s="288"/>
      <c r="AN350" s="288"/>
      <c r="AO350" s="288"/>
      <c r="AR350" s="288"/>
      <c r="AS350" s="288"/>
      <c r="AT350" s="288"/>
      <c r="AU350" s="288"/>
      <c r="AV350" s="288"/>
      <c r="AY350" s="288"/>
      <c r="AZ350" s="288"/>
      <c r="BA350" s="288"/>
      <c r="BB350" s="288"/>
      <c r="BC350" s="288"/>
      <c r="BF350" s="288"/>
      <c r="BG350" s="288"/>
      <c r="BH350" s="288"/>
      <c r="BI350" s="288"/>
      <c r="BJ350" s="288"/>
      <c r="BM350" s="288"/>
      <c r="BN350" s="288"/>
      <c r="BO350" s="288"/>
      <c r="BP350" s="288"/>
      <c r="BQ350" s="288"/>
      <c r="BT350" s="288"/>
      <c r="BU350" s="288"/>
      <c r="BV350" s="288"/>
      <c r="BW350" s="288"/>
      <c r="BX350" s="288"/>
      <c r="CA350" s="288"/>
      <c r="CB350" s="288"/>
      <c r="CC350" s="288"/>
      <c r="CD350" s="288"/>
      <c r="CE350" s="288"/>
      <c r="CH350" s="288"/>
      <c r="CI350" s="288"/>
      <c r="CJ350" s="288"/>
      <c r="CK350" s="288"/>
      <c r="CL350" s="288"/>
      <c r="CO350" s="288"/>
      <c r="CP350" s="288"/>
      <c r="CQ350" s="288"/>
      <c r="CR350" s="288"/>
      <c r="CS350" s="288"/>
    </row>
    <row r="351" spans="3:97" x14ac:dyDescent="0.25">
      <c r="C351" s="333">
        <v>350</v>
      </c>
      <c r="D351" s="334">
        <v>0.96</v>
      </c>
      <c r="E351" s="334">
        <v>0.99</v>
      </c>
      <c r="F351" s="335">
        <v>1</v>
      </c>
      <c r="G351" s="334">
        <v>0.98</v>
      </c>
      <c r="H351" s="334">
        <v>0.94</v>
      </c>
      <c r="I351" s="334">
        <v>0.87</v>
      </c>
      <c r="J351" s="334">
        <v>0.79</v>
      </c>
      <c r="K351" s="334">
        <v>0.69</v>
      </c>
      <c r="L351" s="334">
        <v>0.57999999999999996</v>
      </c>
      <c r="M351" s="334">
        <v>0.48</v>
      </c>
      <c r="P351" s="288"/>
      <c r="Q351" s="288"/>
      <c r="R351" s="288"/>
      <c r="S351" s="288"/>
      <c r="T351" s="288"/>
      <c r="W351" s="288"/>
      <c r="X351" s="288"/>
      <c r="Y351" s="288"/>
      <c r="Z351" s="288"/>
      <c r="AA351" s="288"/>
      <c r="AD351" s="288"/>
      <c r="AE351" s="288"/>
      <c r="AF351" s="288"/>
      <c r="AG351" s="288"/>
      <c r="AH351" s="288"/>
      <c r="AK351" s="288"/>
      <c r="AL351" s="288"/>
      <c r="AM351" s="288"/>
      <c r="AN351" s="288"/>
      <c r="AO351" s="288"/>
      <c r="AR351" s="288"/>
      <c r="AS351" s="288"/>
      <c r="AT351" s="288"/>
      <c r="AU351" s="288"/>
      <c r="AV351" s="288"/>
      <c r="AY351" s="288"/>
      <c r="AZ351" s="288"/>
      <c r="BA351" s="288"/>
      <c r="BB351" s="288"/>
      <c r="BC351" s="288"/>
      <c r="BF351" s="288"/>
      <c r="BG351" s="288"/>
      <c r="BH351" s="288"/>
      <c r="BI351" s="288"/>
      <c r="BJ351" s="288"/>
      <c r="BM351" s="288"/>
      <c r="BN351" s="288"/>
      <c r="BO351" s="288"/>
      <c r="BP351" s="288"/>
      <c r="BQ351" s="288"/>
      <c r="BT351" s="288"/>
      <c r="BU351" s="288"/>
      <c r="BV351" s="288"/>
      <c r="BW351" s="288"/>
      <c r="BX351" s="288"/>
      <c r="CA351" s="288"/>
      <c r="CB351" s="288"/>
      <c r="CC351" s="288"/>
      <c r="CD351" s="288"/>
      <c r="CE351" s="288"/>
      <c r="CH351" s="288"/>
      <c r="CI351" s="288"/>
      <c r="CJ351" s="288"/>
      <c r="CK351" s="288"/>
      <c r="CL351" s="288"/>
      <c r="CO351" s="288"/>
      <c r="CP351" s="288"/>
      <c r="CQ351" s="288"/>
      <c r="CR351" s="288"/>
      <c r="CS351" s="288"/>
    </row>
    <row r="352" spans="3:97" x14ac:dyDescent="0.25">
      <c r="F352" s="260"/>
      <c r="P352" s="288"/>
      <c r="Q352" s="288"/>
      <c r="R352" s="288"/>
      <c r="S352" s="288"/>
      <c r="T352" s="288"/>
      <c r="W352" s="288"/>
      <c r="X352" s="288"/>
      <c r="Y352" s="288"/>
      <c r="Z352" s="288"/>
      <c r="AA352" s="288"/>
      <c r="AD352" s="288"/>
      <c r="AE352" s="288"/>
      <c r="AF352" s="288"/>
      <c r="AG352" s="288"/>
      <c r="AH352" s="288"/>
      <c r="AK352" s="288"/>
      <c r="AL352" s="288"/>
      <c r="AM352" s="288"/>
      <c r="AN352" s="288"/>
      <c r="AO352" s="288"/>
      <c r="AR352" s="288"/>
      <c r="AS352" s="288"/>
      <c r="AT352" s="288"/>
      <c r="AU352" s="288"/>
      <c r="AV352" s="288"/>
      <c r="AY352" s="288"/>
      <c r="AZ352" s="288"/>
      <c r="BA352" s="288"/>
      <c r="BB352" s="288"/>
      <c r="BC352" s="288"/>
      <c r="BF352" s="288"/>
      <c r="BG352" s="288"/>
      <c r="BH352" s="288"/>
      <c r="BI352" s="288"/>
      <c r="BJ352" s="288"/>
      <c r="BM352" s="288"/>
      <c r="BN352" s="288"/>
      <c r="BO352" s="288"/>
      <c r="BP352" s="288"/>
      <c r="BQ352" s="288"/>
      <c r="BT352" s="288"/>
      <c r="BU352" s="288"/>
      <c r="BV352" s="288"/>
      <c r="BW352" s="288"/>
      <c r="BX352" s="288"/>
      <c r="CA352" s="288"/>
      <c r="CB352" s="288"/>
      <c r="CC352" s="288"/>
      <c r="CD352" s="288"/>
      <c r="CE352" s="288"/>
      <c r="CH352" s="288"/>
      <c r="CI352" s="288"/>
      <c r="CJ352" s="288"/>
      <c r="CK352" s="288"/>
      <c r="CL352" s="288"/>
      <c r="CO352" s="288"/>
      <c r="CP352" s="288"/>
      <c r="CQ352" s="288"/>
      <c r="CR352" s="288"/>
      <c r="CS352" s="288"/>
    </row>
    <row r="353" spans="3:97" x14ac:dyDescent="0.25">
      <c r="F353" s="260"/>
      <c r="P353" s="288"/>
      <c r="Q353" s="288"/>
      <c r="R353" s="288"/>
      <c r="S353" s="288"/>
      <c r="T353" s="288"/>
      <c r="W353" s="288"/>
      <c r="X353" s="288"/>
      <c r="Y353" s="288"/>
      <c r="Z353" s="288"/>
      <c r="AA353" s="288"/>
      <c r="AD353" s="288"/>
      <c r="AE353" s="288"/>
      <c r="AF353" s="288"/>
      <c r="AG353" s="288"/>
      <c r="AH353" s="288"/>
      <c r="AK353" s="288"/>
      <c r="AL353" s="288"/>
      <c r="AM353" s="288"/>
      <c r="AN353" s="288"/>
      <c r="AO353" s="288"/>
      <c r="AR353" s="288"/>
      <c r="AS353" s="288"/>
      <c r="AT353" s="288"/>
      <c r="AU353" s="288"/>
      <c r="AV353" s="288"/>
      <c r="AY353" s="288"/>
      <c r="AZ353" s="288"/>
      <c r="BA353" s="288"/>
      <c r="BB353" s="288"/>
      <c r="BC353" s="288"/>
      <c r="BF353" s="288"/>
      <c r="BG353" s="288"/>
      <c r="BH353" s="288"/>
      <c r="BI353" s="288"/>
      <c r="BJ353" s="288"/>
      <c r="BM353" s="288"/>
      <c r="BN353" s="288"/>
      <c r="BO353" s="288"/>
      <c r="BP353" s="288"/>
      <c r="BQ353" s="288"/>
      <c r="BT353" s="288"/>
      <c r="BU353" s="288"/>
      <c r="BV353" s="288"/>
      <c r="BW353" s="288"/>
      <c r="BX353" s="288"/>
      <c r="CA353" s="288"/>
      <c r="CB353" s="288"/>
      <c r="CC353" s="288"/>
      <c r="CD353" s="288"/>
      <c r="CE353" s="288"/>
      <c r="CH353" s="288"/>
      <c r="CI353" s="288"/>
      <c r="CJ353" s="288"/>
      <c r="CK353" s="288"/>
      <c r="CL353" s="288"/>
      <c r="CO353" s="288"/>
      <c r="CP353" s="288"/>
      <c r="CQ353" s="288"/>
      <c r="CR353" s="288"/>
      <c r="CS353" s="288"/>
    </row>
    <row r="354" spans="3:97" x14ac:dyDescent="0.25">
      <c r="C354" s="415" t="s">
        <v>225</v>
      </c>
      <c r="D354" s="415"/>
      <c r="E354" s="415"/>
      <c r="F354" s="415"/>
      <c r="G354" s="415"/>
      <c r="H354" s="415"/>
      <c r="I354" s="415"/>
      <c r="J354" s="415"/>
      <c r="K354" s="415"/>
      <c r="L354" s="415"/>
      <c r="M354" s="415"/>
      <c r="O354" s="279" t="s">
        <v>499</v>
      </c>
    </row>
    <row r="355" spans="3:97" ht="15.75" customHeight="1" x14ac:dyDescent="0.25">
      <c r="C355" s="416" t="s">
        <v>221</v>
      </c>
      <c r="D355" s="416" t="s">
        <v>222</v>
      </c>
      <c r="E355" s="416"/>
      <c r="F355" s="416"/>
      <c r="G355" s="416"/>
      <c r="H355" s="416"/>
      <c r="I355" s="416"/>
      <c r="J355" s="416"/>
      <c r="K355" s="416"/>
      <c r="L355" s="416"/>
      <c r="M355" s="416"/>
      <c r="O355" s="415" t="str">
        <f>O354&amp;" - Janurary"</f>
        <v>HOBART - Janurary</v>
      </c>
      <c r="P355" s="415"/>
      <c r="Q355" s="415"/>
      <c r="R355" s="415"/>
      <c r="S355" s="415"/>
      <c r="T355" s="415"/>
      <c r="V355" s="415" t="str">
        <f>O354&amp;" - February"</f>
        <v>HOBART - February</v>
      </c>
      <c r="W355" s="415"/>
      <c r="X355" s="415"/>
      <c r="Y355" s="415"/>
      <c r="Z355" s="415"/>
      <c r="AA355" s="415"/>
      <c r="AC355" s="415" t="str">
        <f>O354&amp;" - March"</f>
        <v>HOBART - March</v>
      </c>
      <c r="AD355" s="415"/>
      <c r="AE355" s="415"/>
      <c r="AF355" s="415"/>
      <c r="AG355" s="415"/>
      <c r="AH355" s="415"/>
      <c r="AJ355" s="415" t="str">
        <f>O354&amp;" - April"</f>
        <v>HOBART - April</v>
      </c>
      <c r="AK355" s="415"/>
      <c r="AL355" s="415"/>
      <c r="AM355" s="415"/>
      <c r="AN355" s="415"/>
      <c r="AO355" s="415"/>
      <c r="AQ355" s="415" t="str">
        <f>O354&amp;" - May"</f>
        <v>HOBART - May</v>
      </c>
      <c r="AR355" s="415"/>
      <c r="AS355" s="415"/>
      <c r="AT355" s="415"/>
      <c r="AU355" s="415"/>
      <c r="AV355" s="415"/>
      <c r="AX355" s="415" t="str">
        <f>O354&amp;" - June"</f>
        <v>HOBART - June</v>
      </c>
      <c r="AY355" s="415"/>
      <c r="AZ355" s="415"/>
      <c r="BA355" s="415"/>
      <c r="BB355" s="415"/>
      <c r="BC355" s="415"/>
      <c r="BE355" s="415" t="str">
        <f>O354&amp;" - July"</f>
        <v>HOBART - July</v>
      </c>
      <c r="BF355" s="415"/>
      <c r="BG355" s="415"/>
      <c r="BH355" s="415"/>
      <c r="BI355" s="415"/>
      <c r="BJ355" s="415"/>
      <c r="BL355" s="415" t="str">
        <f>O354&amp;" - August"</f>
        <v>HOBART - August</v>
      </c>
      <c r="BM355" s="415"/>
      <c r="BN355" s="415"/>
      <c r="BO355" s="415"/>
      <c r="BP355" s="415"/>
      <c r="BQ355" s="415"/>
      <c r="BS355" s="415" t="str">
        <f>O354&amp;" - September"</f>
        <v>HOBART - September</v>
      </c>
      <c r="BT355" s="415"/>
      <c r="BU355" s="415"/>
      <c r="BV355" s="415"/>
      <c r="BW355" s="415"/>
      <c r="BX355" s="415"/>
      <c r="BZ355" s="415" t="str">
        <f>O354&amp;" - October"</f>
        <v>HOBART - October</v>
      </c>
      <c r="CA355" s="415"/>
      <c r="CB355" s="415"/>
      <c r="CC355" s="415"/>
      <c r="CD355" s="415"/>
      <c r="CE355" s="415"/>
      <c r="CG355" s="415" t="str">
        <f>O354&amp;" - November"</f>
        <v>HOBART - November</v>
      </c>
      <c r="CH355" s="415"/>
      <c r="CI355" s="415"/>
      <c r="CJ355" s="415"/>
      <c r="CK355" s="415"/>
      <c r="CL355" s="415"/>
      <c r="CN355" s="415" t="str">
        <f>O354&amp;" - December"</f>
        <v>HOBART - December</v>
      </c>
      <c r="CO355" s="415"/>
      <c r="CP355" s="415"/>
      <c r="CQ355" s="415"/>
      <c r="CR355" s="415"/>
      <c r="CS355" s="415"/>
    </row>
    <row r="356" spans="3:97" x14ac:dyDescent="0.25">
      <c r="C356" s="416"/>
      <c r="D356" s="333">
        <v>0</v>
      </c>
      <c r="E356" s="333">
        <v>10</v>
      </c>
      <c r="F356" s="333">
        <v>20</v>
      </c>
      <c r="G356" s="333">
        <v>30</v>
      </c>
      <c r="H356" s="333">
        <v>40</v>
      </c>
      <c r="I356" s="333">
        <v>50</v>
      </c>
      <c r="J356" s="333">
        <v>60</v>
      </c>
      <c r="K356" s="333">
        <v>70</v>
      </c>
      <c r="L356" s="333">
        <v>80</v>
      </c>
      <c r="M356" s="333">
        <v>90</v>
      </c>
      <c r="O356" s="416" t="s">
        <v>221</v>
      </c>
      <c r="P356" s="416" t="s">
        <v>222</v>
      </c>
      <c r="Q356" s="416"/>
      <c r="R356" s="416"/>
      <c r="S356" s="416"/>
      <c r="T356" s="416"/>
      <c r="V356" s="416" t="s">
        <v>221</v>
      </c>
      <c r="W356" s="416" t="s">
        <v>222</v>
      </c>
      <c r="X356" s="416"/>
      <c r="Y356" s="416"/>
      <c r="Z356" s="416"/>
      <c r="AA356" s="416"/>
      <c r="AC356" s="416" t="s">
        <v>221</v>
      </c>
      <c r="AD356" s="416" t="s">
        <v>222</v>
      </c>
      <c r="AE356" s="416"/>
      <c r="AF356" s="416"/>
      <c r="AG356" s="416"/>
      <c r="AH356" s="416"/>
      <c r="AJ356" s="416" t="s">
        <v>221</v>
      </c>
      <c r="AK356" s="416" t="s">
        <v>222</v>
      </c>
      <c r="AL356" s="416"/>
      <c r="AM356" s="416"/>
      <c r="AN356" s="416"/>
      <c r="AO356" s="416"/>
      <c r="AQ356" s="416" t="s">
        <v>221</v>
      </c>
      <c r="AR356" s="416" t="s">
        <v>222</v>
      </c>
      <c r="AS356" s="416"/>
      <c r="AT356" s="416"/>
      <c r="AU356" s="416"/>
      <c r="AV356" s="416"/>
      <c r="AX356" s="416" t="s">
        <v>221</v>
      </c>
      <c r="AY356" s="416" t="s">
        <v>222</v>
      </c>
      <c r="AZ356" s="416"/>
      <c r="BA356" s="416"/>
      <c r="BB356" s="416"/>
      <c r="BC356" s="416"/>
      <c r="BE356" s="416" t="s">
        <v>221</v>
      </c>
      <c r="BF356" s="416" t="s">
        <v>222</v>
      </c>
      <c r="BG356" s="416"/>
      <c r="BH356" s="416"/>
      <c r="BI356" s="416"/>
      <c r="BJ356" s="416"/>
      <c r="BL356" s="416" t="s">
        <v>221</v>
      </c>
      <c r="BM356" s="416" t="s">
        <v>222</v>
      </c>
      <c r="BN356" s="416"/>
      <c r="BO356" s="416"/>
      <c r="BP356" s="416"/>
      <c r="BQ356" s="416"/>
      <c r="BS356" s="416" t="s">
        <v>221</v>
      </c>
      <c r="BT356" s="416" t="s">
        <v>222</v>
      </c>
      <c r="BU356" s="416"/>
      <c r="BV356" s="416"/>
      <c r="BW356" s="416"/>
      <c r="BX356" s="416"/>
      <c r="BZ356" s="416" t="s">
        <v>221</v>
      </c>
      <c r="CA356" s="416" t="s">
        <v>222</v>
      </c>
      <c r="CB356" s="416"/>
      <c r="CC356" s="416"/>
      <c r="CD356" s="416"/>
      <c r="CE356" s="416"/>
      <c r="CG356" s="416" t="s">
        <v>221</v>
      </c>
      <c r="CH356" s="416" t="s">
        <v>222</v>
      </c>
      <c r="CI356" s="416"/>
      <c r="CJ356" s="416"/>
      <c r="CK356" s="416"/>
      <c r="CL356" s="416"/>
      <c r="CN356" s="416" t="s">
        <v>221</v>
      </c>
      <c r="CO356" s="416" t="s">
        <v>222</v>
      </c>
      <c r="CP356" s="416"/>
      <c r="CQ356" s="416"/>
      <c r="CR356" s="416"/>
      <c r="CS356" s="416"/>
    </row>
    <row r="357" spans="3:97" x14ac:dyDescent="0.25">
      <c r="C357" s="333">
        <v>0</v>
      </c>
      <c r="D357" s="334">
        <v>0.82</v>
      </c>
      <c r="E357" s="334">
        <v>0.9</v>
      </c>
      <c r="F357" s="334">
        <v>0.95</v>
      </c>
      <c r="G357" s="334">
        <v>0.99</v>
      </c>
      <c r="H357" s="335">
        <v>1</v>
      </c>
      <c r="I357" s="334">
        <v>0.99</v>
      </c>
      <c r="J357" s="334">
        <v>0.95</v>
      </c>
      <c r="K357" s="334">
        <v>0.89</v>
      </c>
      <c r="L357" s="334">
        <v>0.81</v>
      </c>
      <c r="M357" s="334">
        <v>0.72</v>
      </c>
      <c r="O357" s="416"/>
      <c r="P357" s="333">
        <v>0</v>
      </c>
      <c r="Q357" s="333">
        <v>10</v>
      </c>
      <c r="R357" s="333">
        <v>20</v>
      </c>
      <c r="S357" s="333">
        <v>30</v>
      </c>
      <c r="T357" s="333">
        <v>40</v>
      </c>
      <c r="V357" s="416"/>
      <c r="W357" s="333">
        <v>0</v>
      </c>
      <c r="X357" s="333">
        <v>10</v>
      </c>
      <c r="Y357" s="333">
        <v>20</v>
      </c>
      <c r="Z357" s="333">
        <v>30</v>
      </c>
      <c r="AA357" s="333">
        <v>40</v>
      </c>
      <c r="AC357" s="416"/>
      <c r="AD357" s="333">
        <v>0</v>
      </c>
      <c r="AE357" s="333">
        <v>10</v>
      </c>
      <c r="AF357" s="333">
        <v>20</v>
      </c>
      <c r="AG357" s="333">
        <v>30</v>
      </c>
      <c r="AH357" s="333">
        <v>40</v>
      </c>
      <c r="AJ357" s="416"/>
      <c r="AK357" s="333">
        <v>0</v>
      </c>
      <c r="AL357" s="333">
        <v>10</v>
      </c>
      <c r="AM357" s="333">
        <v>20</v>
      </c>
      <c r="AN357" s="333">
        <v>30</v>
      </c>
      <c r="AO357" s="333">
        <v>40</v>
      </c>
      <c r="AQ357" s="416"/>
      <c r="AR357" s="333">
        <v>0</v>
      </c>
      <c r="AS357" s="333">
        <v>10</v>
      </c>
      <c r="AT357" s="333">
        <v>20</v>
      </c>
      <c r="AU357" s="333">
        <v>30</v>
      </c>
      <c r="AV357" s="333">
        <v>40</v>
      </c>
      <c r="AX357" s="416"/>
      <c r="AY357" s="333">
        <v>0</v>
      </c>
      <c r="AZ357" s="333">
        <v>10</v>
      </c>
      <c r="BA357" s="333">
        <v>20</v>
      </c>
      <c r="BB357" s="333">
        <v>30</v>
      </c>
      <c r="BC357" s="333">
        <v>40</v>
      </c>
      <c r="BE357" s="416"/>
      <c r="BF357" s="333">
        <v>0</v>
      </c>
      <c r="BG357" s="333">
        <v>10</v>
      </c>
      <c r="BH357" s="333">
        <v>20</v>
      </c>
      <c r="BI357" s="333">
        <v>30</v>
      </c>
      <c r="BJ357" s="333">
        <v>40</v>
      </c>
      <c r="BL357" s="416"/>
      <c r="BM357" s="333">
        <v>0</v>
      </c>
      <c r="BN357" s="333">
        <v>10</v>
      </c>
      <c r="BO357" s="333">
        <v>20</v>
      </c>
      <c r="BP357" s="333">
        <v>30</v>
      </c>
      <c r="BQ357" s="333">
        <v>40</v>
      </c>
      <c r="BS357" s="416"/>
      <c r="BT357" s="333">
        <v>0</v>
      </c>
      <c r="BU357" s="333">
        <v>10</v>
      </c>
      <c r="BV357" s="333">
        <v>20</v>
      </c>
      <c r="BW357" s="333">
        <v>30</v>
      </c>
      <c r="BX357" s="333">
        <v>40</v>
      </c>
      <c r="BZ357" s="416"/>
      <c r="CA357" s="333">
        <v>0</v>
      </c>
      <c r="CB357" s="333">
        <v>10</v>
      </c>
      <c r="CC357" s="333">
        <v>20</v>
      </c>
      <c r="CD357" s="333">
        <v>30</v>
      </c>
      <c r="CE357" s="333">
        <v>40</v>
      </c>
      <c r="CG357" s="416"/>
      <c r="CH357" s="333">
        <v>0</v>
      </c>
      <c r="CI357" s="333">
        <v>10</v>
      </c>
      <c r="CJ357" s="333">
        <v>20</v>
      </c>
      <c r="CK357" s="333">
        <v>30</v>
      </c>
      <c r="CL357" s="333">
        <v>40</v>
      </c>
      <c r="CN357" s="416"/>
      <c r="CO357" s="333">
        <v>0</v>
      </c>
      <c r="CP357" s="333">
        <v>10</v>
      </c>
      <c r="CQ357" s="333">
        <v>20</v>
      </c>
      <c r="CR357" s="333">
        <v>30</v>
      </c>
      <c r="CS357" s="333">
        <v>40</v>
      </c>
    </row>
    <row r="358" spans="3:97" x14ac:dyDescent="0.25">
      <c r="C358" s="333">
        <v>10</v>
      </c>
      <c r="D358" s="334">
        <v>0.82</v>
      </c>
      <c r="E358" s="334">
        <v>0.89</v>
      </c>
      <c r="F358" s="334">
        <v>0.95</v>
      </c>
      <c r="G358" s="334">
        <v>0.98</v>
      </c>
      <c r="H358" s="335">
        <v>0.99</v>
      </c>
      <c r="I358" s="334">
        <v>0.98</v>
      </c>
      <c r="J358" s="334">
        <v>0.95</v>
      </c>
      <c r="K358" s="334">
        <v>0.88</v>
      </c>
      <c r="L358" s="334">
        <v>0.81</v>
      </c>
      <c r="M358" s="334">
        <v>0.72</v>
      </c>
      <c r="O358" s="333">
        <v>270</v>
      </c>
      <c r="P358" s="334">
        <v>1</v>
      </c>
      <c r="Q358" s="334">
        <v>1.01</v>
      </c>
      <c r="R358" s="334">
        <v>1</v>
      </c>
      <c r="S358" s="334">
        <v>0.98</v>
      </c>
      <c r="T358" s="334">
        <v>0.94</v>
      </c>
      <c r="V358" s="333">
        <v>270</v>
      </c>
      <c r="W358" s="334">
        <v>1</v>
      </c>
      <c r="X358" s="334">
        <v>1.01</v>
      </c>
      <c r="Y358" s="334">
        <v>1.01</v>
      </c>
      <c r="Z358" s="334">
        <v>1</v>
      </c>
      <c r="AA358" s="334">
        <v>0.97</v>
      </c>
      <c r="AC358" s="333">
        <v>270</v>
      </c>
      <c r="AD358" s="334">
        <v>1</v>
      </c>
      <c r="AE358" s="334">
        <v>1.01</v>
      </c>
      <c r="AF358" s="334">
        <v>1</v>
      </c>
      <c r="AG358" s="334">
        <v>0.99</v>
      </c>
      <c r="AH358" s="334">
        <v>0.98</v>
      </c>
      <c r="AJ358" s="333">
        <v>270</v>
      </c>
      <c r="AK358" s="334">
        <v>1</v>
      </c>
      <c r="AL358" s="334">
        <v>1.01</v>
      </c>
      <c r="AM358" s="334">
        <v>1.02</v>
      </c>
      <c r="AN358" s="334">
        <v>1.01</v>
      </c>
      <c r="AO358" s="334">
        <v>1</v>
      </c>
      <c r="AQ358" s="333">
        <v>270</v>
      </c>
      <c r="AR358" s="334">
        <v>1</v>
      </c>
      <c r="AS358" s="334">
        <v>1.01</v>
      </c>
      <c r="AT358" s="334">
        <v>1.03</v>
      </c>
      <c r="AU358" s="334">
        <v>1.04</v>
      </c>
      <c r="AV358" s="334">
        <v>1.03</v>
      </c>
      <c r="AX358" s="333">
        <v>270</v>
      </c>
      <c r="AY358" s="334">
        <v>1</v>
      </c>
      <c r="AZ358" s="334">
        <v>1.02</v>
      </c>
      <c r="BA358" s="334">
        <v>1.03</v>
      </c>
      <c r="BB358" s="334">
        <v>1.03</v>
      </c>
      <c r="BC358" s="334">
        <v>1.03</v>
      </c>
      <c r="BE358" s="333">
        <v>270</v>
      </c>
      <c r="BF358" s="334">
        <v>1</v>
      </c>
      <c r="BG358" s="334">
        <v>1.01</v>
      </c>
      <c r="BH358" s="334">
        <v>1.03</v>
      </c>
      <c r="BI358" s="334">
        <v>1.04</v>
      </c>
      <c r="BJ358" s="334">
        <v>1.04</v>
      </c>
      <c r="BL358" s="333">
        <v>270</v>
      </c>
      <c r="BM358" s="334">
        <v>1</v>
      </c>
      <c r="BN358" s="334">
        <v>1.01</v>
      </c>
      <c r="BO358" s="334">
        <v>1.01</v>
      </c>
      <c r="BP358" s="334">
        <v>1.01</v>
      </c>
      <c r="BQ358" s="334">
        <v>1</v>
      </c>
      <c r="BS358" s="333">
        <v>270</v>
      </c>
      <c r="BT358" s="334">
        <v>1</v>
      </c>
      <c r="BU358" s="334">
        <v>1.01</v>
      </c>
      <c r="BV358" s="334">
        <v>1.01</v>
      </c>
      <c r="BW358" s="334">
        <v>1</v>
      </c>
      <c r="BX358" s="334">
        <v>0.98</v>
      </c>
      <c r="BZ358" s="333">
        <v>270</v>
      </c>
      <c r="CA358" s="334">
        <v>1</v>
      </c>
      <c r="CB358" s="334">
        <v>1.01</v>
      </c>
      <c r="CC358" s="334">
        <v>1.01</v>
      </c>
      <c r="CD358" s="334">
        <v>0.99</v>
      </c>
      <c r="CE358" s="334">
        <v>0.96</v>
      </c>
      <c r="CG358" s="333">
        <v>270</v>
      </c>
      <c r="CH358" s="334">
        <v>1</v>
      </c>
      <c r="CI358" s="334">
        <v>1.01</v>
      </c>
      <c r="CJ358" s="334">
        <v>1</v>
      </c>
      <c r="CK358" s="334">
        <v>0.99</v>
      </c>
      <c r="CL358" s="334">
        <v>0.96</v>
      </c>
      <c r="CN358" s="333">
        <v>270</v>
      </c>
      <c r="CO358" s="334">
        <v>1</v>
      </c>
      <c r="CP358" s="334">
        <v>1.01</v>
      </c>
      <c r="CQ358" s="334">
        <v>1</v>
      </c>
      <c r="CR358" s="334">
        <v>0.97</v>
      </c>
      <c r="CS358" s="334">
        <v>0.94</v>
      </c>
    </row>
    <row r="359" spans="3:97" x14ac:dyDescent="0.25">
      <c r="C359" s="333">
        <v>20</v>
      </c>
      <c r="D359" s="334">
        <v>0.82</v>
      </c>
      <c r="E359" s="334">
        <v>0.89</v>
      </c>
      <c r="F359" s="334">
        <v>0.95</v>
      </c>
      <c r="G359" s="334">
        <v>0.98</v>
      </c>
      <c r="H359" s="335">
        <v>0.99</v>
      </c>
      <c r="I359" s="334">
        <v>0.97</v>
      </c>
      <c r="J359" s="334">
        <v>0.94</v>
      </c>
      <c r="K359" s="334">
        <v>0.88</v>
      </c>
      <c r="L359" s="334">
        <v>0.81</v>
      </c>
      <c r="M359" s="334">
        <v>0.72</v>
      </c>
      <c r="O359" s="333">
        <v>280</v>
      </c>
      <c r="P359" s="334">
        <v>1</v>
      </c>
      <c r="Q359" s="334">
        <v>1.01</v>
      </c>
      <c r="R359" s="334">
        <v>1.01</v>
      </c>
      <c r="S359" s="334">
        <v>0.99</v>
      </c>
      <c r="T359" s="334">
        <v>0.96</v>
      </c>
      <c r="V359" s="333">
        <v>280</v>
      </c>
      <c r="W359" s="334">
        <v>1</v>
      </c>
      <c r="X359" s="334">
        <v>1.02</v>
      </c>
      <c r="Y359" s="334">
        <v>1.03</v>
      </c>
      <c r="Z359" s="334">
        <v>1.02</v>
      </c>
      <c r="AA359" s="334">
        <v>1</v>
      </c>
      <c r="AC359" s="333">
        <v>280</v>
      </c>
      <c r="AD359" s="334">
        <v>1</v>
      </c>
      <c r="AE359" s="334">
        <v>1.02</v>
      </c>
      <c r="AF359" s="334">
        <v>1.04</v>
      </c>
      <c r="AG359" s="334">
        <v>1.04</v>
      </c>
      <c r="AH359" s="334">
        <v>1.02</v>
      </c>
      <c r="AJ359" s="333">
        <v>280</v>
      </c>
      <c r="AK359" s="334">
        <v>1</v>
      </c>
      <c r="AL359" s="334">
        <v>1.04</v>
      </c>
      <c r="AM359" s="334">
        <v>1.06</v>
      </c>
      <c r="AN359" s="334">
        <v>1.08</v>
      </c>
      <c r="AO359" s="334">
        <v>1.0900000000000001</v>
      </c>
      <c r="AQ359" s="333">
        <v>280</v>
      </c>
      <c r="AR359" s="334">
        <v>1</v>
      </c>
      <c r="AS359" s="334">
        <v>1.05</v>
      </c>
      <c r="AT359" s="334">
        <v>1.1000000000000001</v>
      </c>
      <c r="AU359" s="334">
        <v>1.1299999999999999</v>
      </c>
      <c r="AV359" s="334">
        <v>1.1499999999999999</v>
      </c>
      <c r="AX359" s="333">
        <v>280</v>
      </c>
      <c r="AY359" s="334">
        <v>1</v>
      </c>
      <c r="AZ359" s="334">
        <v>1.06</v>
      </c>
      <c r="BA359" s="334">
        <v>1.1100000000000001</v>
      </c>
      <c r="BB359" s="334">
        <v>1.1599999999999999</v>
      </c>
      <c r="BC359" s="334">
        <v>1.17</v>
      </c>
      <c r="BE359" s="333">
        <v>280</v>
      </c>
      <c r="BF359" s="334">
        <v>1</v>
      </c>
      <c r="BG359" s="334">
        <v>1.07</v>
      </c>
      <c r="BH359" s="334">
        <v>1.1100000000000001</v>
      </c>
      <c r="BI359" s="334">
        <v>1.1499999999999999</v>
      </c>
      <c r="BJ359" s="334">
        <v>1.17</v>
      </c>
      <c r="BL359" s="333">
        <v>280</v>
      </c>
      <c r="BM359" s="334">
        <v>1</v>
      </c>
      <c r="BN359" s="334">
        <v>1.04</v>
      </c>
      <c r="BO359" s="334">
        <v>1.08</v>
      </c>
      <c r="BP359" s="334">
        <v>1.0900000000000001</v>
      </c>
      <c r="BQ359" s="334">
        <v>1.1000000000000001</v>
      </c>
      <c r="BS359" s="333">
        <v>280</v>
      </c>
      <c r="BT359" s="334">
        <v>1</v>
      </c>
      <c r="BU359" s="334">
        <v>1.03</v>
      </c>
      <c r="BV359" s="334">
        <v>1.05</v>
      </c>
      <c r="BW359" s="334">
        <v>1.05</v>
      </c>
      <c r="BX359" s="334">
        <v>1.05</v>
      </c>
      <c r="BZ359" s="333">
        <v>280</v>
      </c>
      <c r="CA359" s="334">
        <v>1</v>
      </c>
      <c r="CB359" s="334">
        <v>1.02</v>
      </c>
      <c r="CC359" s="334">
        <v>1.03</v>
      </c>
      <c r="CD359" s="334">
        <v>1.02</v>
      </c>
      <c r="CE359" s="334">
        <v>1.01</v>
      </c>
      <c r="CG359" s="333">
        <v>280</v>
      </c>
      <c r="CH359" s="334">
        <v>1</v>
      </c>
      <c r="CI359" s="334">
        <v>1.02</v>
      </c>
      <c r="CJ359" s="334">
        <v>1.02</v>
      </c>
      <c r="CK359" s="334">
        <v>1</v>
      </c>
      <c r="CL359" s="334">
        <v>0.97</v>
      </c>
      <c r="CN359" s="333">
        <v>280</v>
      </c>
      <c r="CO359" s="334">
        <v>1</v>
      </c>
      <c r="CP359" s="334">
        <v>1.01</v>
      </c>
      <c r="CQ359" s="334">
        <v>1</v>
      </c>
      <c r="CR359" s="334">
        <v>0.98</v>
      </c>
      <c r="CS359" s="334">
        <v>0.95</v>
      </c>
    </row>
    <row r="360" spans="3:97" x14ac:dyDescent="0.25">
      <c r="C360" s="333">
        <v>30</v>
      </c>
      <c r="D360" s="334">
        <v>0.82</v>
      </c>
      <c r="E360" s="334">
        <v>0.88</v>
      </c>
      <c r="F360" s="334">
        <v>0.93</v>
      </c>
      <c r="G360" s="334">
        <v>0.96</v>
      </c>
      <c r="H360" s="335">
        <v>0.97</v>
      </c>
      <c r="I360" s="334">
        <v>0.96</v>
      </c>
      <c r="J360" s="334">
        <v>0.92</v>
      </c>
      <c r="K360" s="334">
        <v>0.87</v>
      </c>
      <c r="L360" s="334">
        <v>0.79</v>
      </c>
      <c r="M360" s="334">
        <v>0.7</v>
      </c>
      <c r="O360" s="333">
        <v>290</v>
      </c>
      <c r="P360" s="334">
        <v>1</v>
      </c>
      <c r="Q360" s="334">
        <v>1.02</v>
      </c>
      <c r="R360" s="334">
        <v>1.02</v>
      </c>
      <c r="S360" s="334">
        <v>1</v>
      </c>
      <c r="T360" s="334">
        <v>0.98</v>
      </c>
      <c r="V360" s="333">
        <v>290</v>
      </c>
      <c r="W360" s="334">
        <v>1</v>
      </c>
      <c r="X360" s="334">
        <v>1.03</v>
      </c>
      <c r="Y360" s="334">
        <v>1.05</v>
      </c>
      <c r="Z360" s="334">
        <v>1.04</v>
      </c>
      <c r="AA360" s="334">
        <v>1.03</v>
      </c>
      <c r="AC360" s="333">
        <v>290</v>
      </c>
      <c r="AD360" s="334">
        <v>1</v>
      </c>
      <c r="AE360" s="334">
        <v>1.04</v>
      </c>
      <c r="AF360" s="334">
        <v>1.07</v>
      </c>
      <c r="AG360" s="334">
        <v>1.08</v>
      </c>
      <c r="AH360" s="334">
        <v>1.07</v>
      </c>
      <c r="AJ360" s="333">
        <v>290</v>
      </c>
      <c r="AK360" s="334">
        <v>1</v>
      </c>
      <c r="AL360" s="334">
        <v>1.06</v>
      </c>
      <c r="AM360" s="334">
        <v>1.1200000000000001</v>
      </c>
      <c r="AN360" s="334">
        <v>1.1499999999999999</v>
      </c>
      <c r="AO360" s="334">
        <v>1.1599999999999999</v>
      </c>
      <c r="AQ360" s="333">
        <v>290</v>
      </c>
      <c r="AR360" s="334">
        <v>1</v>
      </c>
      <c r="AS360" s="334">
        <v>1.0900000000000001</v>
      </c>
      <c r="AT360" s="334">
        <v>1.17</v>
      </c>
      <c r="AU360" s="334">
        <v>1.23</v>
      </c>
      <c r="AV360" s="334">
        <v>1.27</v>
      </c>
      <c r="AX360" s="333">
        <v>290</v>
      </c>
      <c r="AY360" s="334">
        <v>1</v>
      </c>
      <c r="AZ360" s="334">
        <v>1.1100000000000001</v>
      </c>
      <c r="BA360" s="334">
        <v>1.2</v>
      </c>
      <c r="BB360" s="334">
        <v>1.28</v>
      </c>
      <c r="BC360" s="334">
        <v>1.33</v>
      </c>
      <c r="BE360" s="333">
        <v>290</v>
      </c>
      <c r="BF360" s="334">
        <v>1</v>
      </c>
      <c r="BG360" s="334">
        <v>1.1100000000000001</v>
      </c>
      <c r="BH360" s="334">
        <v>1.19</v>
      </c>
      <c r="BI360" s="334">
        <v>1.26</v>
      </c>
      <c r="BJ360" s="334">
        <v>1.32</v>
      </c>
      <c r="BL360" s="333">
        <v>290</v>
      </c>
      <c r="BM360" s="334">
        <v>1</v>
      </c>
      <c r="BN360" s="334">
        <v>1.07</v>
      </c>
      <c r="BO360" s="334">
        <v>1.1299999999999999</v>
      </c>
      <c r="BP360" s="334">
        <v>1.17</v>
      </c>
      <c r="BQ360" s="334">
        <v>1.2</v>
      </c>
      <c r="BS360" s="333">
        <v>290</v>
      </c>
      <c r="BT360" s="334">
        <v>1</v>
      </c>
      <c r="BU360" s="334">
        <v>1.05</v>
      </c>
      <c r="BV360" s="334">
        <v>1.0900000000000001</v>
      </c>
      <c r="BW360" s="334">
        <v>1.1100000000000001</v>
      </c>
      <c r="BX360" s="334">
        <v>1.1100000000000001</v>
      </c>
      <c r="BZ360" s="333">
        <v>290</v>
      </c>
      <c r="CA360" s="334">
        <v>1</v>
      </c>
      <c r="CB360" s="334">
        <v>1.04</v>
      </c>
      <c r="CC360" s="334">
        <v>1.05</v>
      </c>
      <c r="CD360" s="334">
        <v>1.05</v>
      </c>
      <c r="CE360" s="334">
        <v>1.04</v>
      </c>
      <c r="CG360" s="333">
        <v>290</v>
      </c>
      <c r="CH360" s="334">
        <v>1</v>
      </c>
      <c r="CI360" s="334">
        <v>1.02</v>
      </c>
      <c r="CJ360" s="334">
        <v>1.03</v>
      </c>
      <c r="CK360" s="334">
        <v>1.02</v>
      </c>
      <c r="CL360" s="334">
        <v>0.99</v>
      </c>
      <c r="CN360" s="333">
        <v>290</v>
      </c>
      <c r="CO360" s="334">
        <v>1</v>
      </c>
      <c r="CP360" s="334">
        <v>1.01</v>
      </c>
      <c r="CQ360" s="334">
        <v>1.01</v>
      </c>
      <c r="CR360" s="334">
        <v>0.99</v>
      </c>
      <c r="CS360" s="334">
        <v>0.96</v>
      </c>
    </row>
    <row r="361" spans="3:97" x14ac:dyDescent="0.25">
      <c r="C361" s="333">
        <v>40</v>
      </c>
      <c r="D361" s="334">
        <v>0.82</v>
      </c>
      <c r="E361" s="334">
        <v>0.88</v>
      </c>
      <c r="F361" s="334">
        <v>0.92</v>
      </c>
      <c r="G361" s="334">
        <v>0.95</v>
      </c>
      <c r="H361" s="335">
        <v>0.95</v>
      </c>
      <c r="I361" s="334">
        <v>0.93</v>
      </c>
      <c r="J361" s="334">
        <v>0.9</v>
      </c>
      <c r="K361" s="334">
        <v>0.84</v>
      </c>
      <c r="L361" s="334">
        <v>0.78</v>
      </c>
      <c r="M361" s="334">
        <v>0.69</v>
      </c>
      <c r="O361" s="333">
        <v>300</v>
      </c>
      <c r="P361" s="334">
        <v>1</v>
      </c>
      <c r="Q361" s="334">
        <v>1.02</v>
      </c>
      <c r="R361" s="335">
        <v>1.03</v>
      </c>
      <c r="S361" s="334">
        <v>1.02</v>
      </c>
      <c r="T361" s="334">
        <v>0.98</v>
      </c>
      <c r="V361" s="333">
        <v>300</v>
      </c>
      <c r="W361" s="334">
        <v>1</v>
      </c>
      <c r="X361" s="334">
        <v>1.04</v>
      </c>
      <c r="Y361" s="335">
        <v>1.06</v>
      </c>
      <c r="Z361" s="334">
        <v>1.06</v>
      </c>
      <c r="AA361" s="334">
        <v>1.05</v>
      </c>
      <c r="AC361" s="333">
        <v>300</v>
      </c>
      <c r="AD361" s="334">
        <v>1</v>
      </c>
      <c r="AE361" s="334">
        <v>1.06</v>
      </c>
      <c r="AF361" s="335">
        <v>1.1000000000000001</v>
      </c>
      <c r="AG361" s="334">
        <v>1.1200000000000001</v>
      </c>
      <c r="AH361" s="334">
        <v>1.1200000000000001</v>
      </c>
      <c r="AJ361" s="333">
        <v>300</v>
      </c>
      <c r="AK361" s="334">
        <v>1</v>
      </c>
      <c r="AL361" s="334">
        <v>1.0900000000000001</v>
      </c>
      <c r="AM361" s="335">
        <v>1.1599999999999999</v>
      </c>
      <c r="AN361" s="334">
        <v>1.21</v>
      </c>
      <c r="AO361" s="334">
        <v>1.24</v>
      </c>
      <c r="AQ361" s="333">
        <v>300</v>
      </c>
      <c r="AR361" s="334">
        <v>1</v>
      </c>
      <c r="AS361" s="334">
        <v>1.1299999999999999</v>
      </c>
      <c r="AT361" s="335">
        <v>1.24</v>
      </c>
      <c r="AU361" s="334">
        <v>1.32</v>
      </c>
      <c r="AV361" s="334">
        <v>1.38</v>
      </c>
      <c r="AX361" s="333">
        <v>300</v>
      </c>
      <c r="AY361" s="334">
        <v>1</v>
      </c>
      <c r="AZ361" s="334">
        <v>1.1599999999999999</v>
      </c>
      <c r="BA361" s="335">
        <v>1.3</v>
      </c>
      <c r="BB361" s="334">
        <v>1.41</v>
      </c>
      <c r="BC361" s="334">
        <v>1.47</v>
      </c>
      <c r="BE361" s="333">
        <v>300</v>
      </c>
      <c r="BF361" s="334">
        <v>1</v>
      </c>
      <c r="BG361" s="334">
        <v>1.1499999999999999</v>
      </c>
      <c r="BH361" s="335">
        <v>1.28</v>
      </c>
      <c r="BI361" s="334">
        <v>1.38</v>
      </c>
      <c r="BJ361" s="334">
        <v>1.44</v>
      </c>
      <c r="BL361" s="333">
        <v>300</v>
      </c>
      <c r="BM361" s="334">
        <v>1</v>
      </c>
      <c r="BN361" s="334">
        <v>1.1000000000000001</v>
      </c>
      <c r="BO361" s="335">
        <v>1.19</v>
      </c>
      <c r="BP361" s="334">
        <v>1.25</v>
      </c>
      <c r="BQ361" s="334">
        <v>1.29</v>
      </c>
      <c r="BS361" s="333">
        <v>300</v>
      </c>
      <c r="BT361" s="334">
        <v>1</v>
      </c>
      <c r="BU361" s="334">
        <v>1.08</v>
      </c>
      <c r="BV361" s="335">
        <v>1.1299999999999999</v>
      </c>
      <c r="BW361" s="334">
        <v>1.1599999999999999</v>
      </c>
      <c r="BX361" s="334">
        <v>1.17</v>
      </c>
      <c r="BZ361" s="333">
        <v>300</v>
      </c>
      <c r="CA361" s="334">
        <v>1</v>
      </c>
      <c r="CB361" s="334">
        <v>1.05</v>
      </c>
      <c r="CC361" s="335">
        <v>1.07</v>
      </c>
      <c r="CD361" s="334">
        <v>1.08</v>
      </c>
      <c r="CE361" s="334">
        <v>1.07</v>
      </c>
      <c r="CG361" s="333">
        <v>300</v>
      </c>
      <c r="CH361" s="334">
        <v>1</v>
      </c>
      <c r="CI361" s="334">
        <v>1.03</v>
      </c>
      <c r="CJ361" s="335">
        <v>1.03</v>
      </c>
      <c r="CK361" s="334">
        <v>1.03</v>
      </c>
      <c r="CL361" s="334">
        <v>1</v>
      </c>
      <c r="CN361" s="333">
        <v>300</v>
      </c>
      <c r="CO361" s="334">
        <v>1</v>
      </c>
      <c r="CP361" s="334">
        <v>1.02</v>
      </c>
      <c r="CQ361" s="335">
        <v>1.01</v>
      </c>
      <c r="CR361" s="334">
        <v>1</v>
      </c>
      <c r="CS361" s="334">
        <v>0.96</v>
      </c>
    </row>
    <row r="362" spans="3:97" x14ac:dyDescent="0.25">
      <c r="C362" s="333">
        <v>50</v>
      </c>
      <c r="D362" s="334">
        <v>0.82</v>
      </c>
      <c r="E362" s="334">
        <v>0.87</v>
      </c>
      <c r="F362" s="334">
        <v>0.9</v>
      </c>
      <c r="G362" s="334">
        <v>0.92</v>
      </c>
      <c r="H362" s="335">
        <v>0.92</v>
      </c>
      <c r="I362" s="334">
        <v>0.9</v>
      </c>
      <c r="J362" s="334">
        <v>0.87</v>
      </c>
      <c r="K362" s="334">
        <v>0.81</v>
      </c>
      <c r="L362" s="334">
        <v>0.75</v>
      </c>
      <c r="M362" s="334">
        <v>0.67</v>
      </c>
      <c r="O362" s="333">
        <v>310</v>
      </c>
      <c r="P362" s="334">
        <v>1</v>
      </c>
      <c r="Q362" s="334">
        <v>1.02</v>
      </c>
      <c r="R362" s="335">
        <v>1.03</v>
      </c>
      <c r="S362" s="334">
        <v>1.02</v>
      </c>
      <c r="T362" s="334">
        <v>0.99</v>
      </c>
      <c r="V362" s="333">
        <v>310</v>
      </c>
      <c r="W362" s="334">
        <v>1</v>
      </c>
      <c r="X362" s="334">
        <v>1.05</v>
      </c>
      <c r="Y362" s="335">
        <v>1.07</v>
      </c>
      <c r="Z362" s="334">
        <v>1.08</v>
      </c>
      <c r="AA362" s="334">
        <v>1.07</v>
      </c>
      <c r="AC362" s="333">
        <v>310</v>
      </c>
      <c r="AD362" s="334">
        <v>1</v>
      </c>
      <c r="AE362" s="334">
        <v>1.07</v>
      </c>
      <c r="AF362" s="335">
        <v>1.1200000000000001</v>
      </c>
      <c r="AG362" s="334">
        <v>1.1499999999999999</v>
      </c>
      <c r="AH362" s="334">
        <v>1.1599999999999999</v>
      </c>
      <c r="AJ362" s="333">
        <v>310</v>
      </c>
      <c r="AK362" s="334">
        <v>1</v>
      </c>
      <c r="AL362" s="334">
        <v>1.1100000000000001</v>
      </c>
      <c r="AM362" s="335">
        <v>1.21</v>
      </c>
      <c r="AN362" s="334">
        <v>1.27</v>
      </c>
      <c r="AO362" s="334">
        <v>1.31</v>
      </c>
      <c r="AQ362" s="333">
        <v>310</v>
      </c>
      <c r="AR362" s="334">
        <v>1</v>
      </c>
      <c r="AS362" s="334">
        <v>1.1499999999999999</v>
      </c>
      <c r="AT362" s="335">
        <v>1.29</v>
      </c>
      <c r="AU362" s="334">
        <v>1.41</v>
      </c>
      <c r="AV362" s="334">
        <v>1.49</v>
      </c>
      <c r="AX362" s="333">
        <v>310</v>
      </c>
      <c r="AY362" s="334">
        <v>1</v>
      </c>
      <c r="AZ362" s="334">
        <v>1.2</v>
      </c>
      <c r="BA362" s="335">
        <v>1.38</v>
      </c>
      <c r="BB362" s="334">
        <v>1.52</v>
      </c>
      <c r="BC362" s="334">
        <v>1.63</v>
      </c>
      <c r="BE362" s="333">
        <v>310</v>
      </c>
      <c r="BF362" s="334">
        <v>1</v>
      </c>
      <c r="BG362" s="334">
        <v>1.19</v>
      </c>
      <c r="BH362" s="335">
        <v>1.35</v>
      </c>
      <c r="BI362" s="334">
        <v>1.49</v>
      </c>
      <c r="BJ362" s="334">
        <v>1.58</v>
      </c>
      <c r="BL362" s="333">
        <v>310</v>
      </c>
      <c r="BM362" s="334">
        <v>1</v>
      </c>
      <c r="BN362" s="334">
        <v>1.1299999999999999</v>
      </c>
      <c r="BO362" s="335">
        <v>1.24</v>
      </c>
      <c r="BP362" s="334">
        <v>1.32</v>
      </c>
      <c r="BQ362" s="334">
        <v>1.38</v>
      </c>
      <c r="BS362" s="333">
        <v>310</v>
      </c>
      <c r="BT362" s="334">
        <v>1</v>
      </c>
      <c r="BU362" s="334">
        <v>1.0900000000000001</v>
      </c>
      <c r="BV362" s="335">
        <v>1.1599999999999999</v>
      </c>
      <c r="BW362" s="334">
        <v>1.21</v>
      </c>
      <c r="BX362" s="334">
        <v>1.23</v>
      </c>
      <c r="BZ362" s="333">
        <v>310</v>
      </c>
      <c r="CA362" s="334">
        <v>1</v>
      </c>
      <c r="CB362" s="334">
        <v>1.06</v>
      </c>
      <c r="CC362" s="335">
        <v>1.0900000000000001</v>
      </c>
      <c r="CD362" s="334">
        <v>1.1000000000000001</v>
      </c>
      <c r="CE362" s="334">
        <v>1.0900000000000001</v>
      </c>
      <c r="CG362" s="333">
        <v>310</v>
      </c>
      <c r="CH362" s="334">
        <v>1</v>
      </c>
      <c r="CI362" s="334">
        <v>1.03</v>
      </c>
      <c r="CJ362" s="335">
        <v>1.04</v>
      </c>
      <c r="CK362" s="334">
        <v>1.03</v>
      </c>
      <c r="CL362" s="334">
        <v>1.01</v>
      </c>
      <c r="CN362" s="333">
        <v>310</v>
      </c>
      <c r="CO362" s="334">
        <v>1</v>
      </c>
      <c r="CP362" s="334">
        <v>1.02</v>
      </c>
      <c r="CQ362" s="335">
        <v>1.02</v>
      </c>
      <c r="CR362" s="334">
        <v>1</v>
      </c>
      <c r="CS362" s="334">
        <v>0.96</v>
      </c>
    </row>
    <row r="363" spans="3:97" x14ac:dyDescent="0.25">
      <c r="C363" s="333">
        <v>60</v>
      </c>
      <c r="D363" s="334">
        <v>0.82</v>
      </c>
      <c r="E363" s="334">
        <v>0.86</v>
      </c>
      <c r="F363" s="334">
        <v>0.88</v>
      </c>
      <c r="G363" s="334">
        <v>0.9</v>
      </c>
      <c r="H363" s="335">
        <v>0.89</v>
      </c>
      <c r="I363" s="334">
        <v>0.87</v>
      </c>
      <c r="J363" s="334">
        <v>0.83</v>
      </c>
      <c r="K363" s="334">
        <v>0.78</v>
      </c>
      <c r="L363" s="334">
        <v>0.72</v>
      </c>
      <c r="M363" s="334">
        <v>0.65</v>
      </c>
      <c r="O363" s="333">
        <v>320</v>
      </c>
      <c r="P363" s="334">
        <v>1</v>
      </c>
      <c r="Q363" s="334">
        <v>1.03</v>
      </c>
      <c r="R363" s="335">
        <v>1.04</v>
      </c>
      <c r="S363" s="334">
        <v>1.02</v>
      </c>
      <c r="T363" s="334">
        <v>0.99</v>
      </c>
      <c r="V363" s="333">
        <v>320</v>
      </c>
      <c r="W363" s="334">
        <v>1</v>
      </c>
      <c r="X363" s="334">
        <v>1.05</v>
      </c>
      <c r="Y363" s="335">
        <v>1.08</v>
      </c>
      <c r="Z363" s="334">
        <v>1.0900000000000001</v>
      </c>
      <c r="AA363" s="334">
        <v>1.08</v>
      </c>
      <c r="AC363" s="333">
        <v>320</v>
      </c>
      <c r="AD363" s="334">
        <v>1</v>
      </c>
      <c r="AE363" s="334">
        <v>1.0900000000000001</v>
      </c>
      <c r="AF363" s="335">
        <v>1.1499999999999999</v>
      </c>
      <c r="AG363" s="334">
        <v>1.18</v>
      </c>
      <c r="AH363" s="334">
        <v>1.19</v>
      </c>
      <c r="AJ363" s="333">
        <v>320</v>
      </c>
      <c r="AK363" s="334">
        <v>1</v>
      </c>
      <c r="AL363" s="334">
        <v>1.1299999999999999</v>
      </c>
      <c r="AM363" s="335">
        <v>1.24</v>
      </c>
      <c r="AN363" s="334">
        <v>1.32</v>
      </c>
      <c r="AO363" s="334">
        <v>1.38</v>
      </c>
      <c r="AQ363" s="333">
        <v>320</v>
      </c>
      <c r="AR363" s="334">
        <v>1</v>
      </c>
      <c r="AS363" s="334">
        <v>1.19</v>
      </c>
      <c r="AT363" s="335">
        <v>1.36</v>
      </c>
      <c r="AU363" s="334">
        <v>1.49</v>
      </c>
      <c r="AV363" s="334">
        <v>1.59</v>
      </c>
      <c r="AX363" s="333">
        <v>320</v>
      </c>
      <c r="AY363" s="334">
        <v>1</v>
      </c>
      <c r="AZ363" s="334">
        <v>1.23</v>
      </c>
      <c r="BA363" s="335">
        <v>1.44</v>
      </c>
      <c r="BB363" s="334">
        <v>1.61</v>
      </c>
      <c r="BC363" s="334">
        <v>1.75</v>
      </c>
      <c r="BE363" s="333">
        <v>320</v>
      </c>
      <c r="BF363" s="334">
        <v>1</v>
      </c>
      <c r="BG363" s="334">
        <v>1.22</v>
      </c>
      <c r="BH363" s="335">
        <v>1.42</v>
      </c>
      <c r="BI363" s="334">
        <v>1.58</v>
      </c>
      <c r="BJ363" s="334">
        <v>1.69</v>
      </c>
      <c r="BL363" s="333">
        <v>320</v>
      </c>
      <c r="BM363" s="334">
        <v>1</v>
      </c>
      <c r="BN363" s="334">
        <v>1.1599999999999999</v>
      </c>
      <c r="BO363" s="335">
        <v>1.28</v>
      </c>
      <c r="BP363" s="334">
        <v>1.38</v>
      </c>
      <c r="BQ363" s="334">
        <v>1.45</v>
      </c>
      <c r="BS363" s="333">
        <v>320</v>
      </c>
      <c r="BT363" s="334">
        <v>1</v>
      </c>
      <c r="BU363" s="334">
        <v>1.1100000000000001</v>
      </c>
      <c r="BV363" s="335">
        <v>1.18</v>
      </c>
      <c r="BW363" s="334">
        <v>1.24</v>
      </c>
      <c r="BX363" s="334">
        <v>1.27</v>
      </c>
      <c r="BZ363" s="333">
        <v>320</v>
      </c>
      <c r="CA363" s="334">
        <v>1</v>
      </c>
      <c r="CB363" s="334">
        <v>1.06</v>
      </c>
      <c r="CC363" s="335">
        <v>1.1000000000000001</v>
      </c>
      <c r="CD363" s="334">
        <v>1.1200000000000001</v>
      </c>
      <c r="CE363" s="334">
        <v>1.1100000000000001</v>
      </c>
      <c r="CG363" s="333">
        <v>320</v>
      </c>
      <c r="CH363" s="334">
        <v>1</v>
      </c>
      <c r="CI363" s="334">
        <v>1.03</v>
      </c>
      <c r="CJ363" s="335">
        <v>1.05</v>
      </c>
      <c r="CK363" s="334">
        <v>1.04</v>
      </c>
      <c r="CL363" s="334">
        <v>1.01</v>
      </c>
      <c r="CN363" s="333">
        <v>320</v>
      </c>
      <c r="CO363" s="334">
        <v>1</v>
      </c>
      <c r="CP363" s="334">
        <v>1.02</v>
      </c>
      <c r="CQ363" s="335">
        <v>1.02</v>
      </c>
      <c r="CR363" s="334">
        <v>1</v>
      </c>
      <c r="CS363" s="334">
        <v>0.96</v>
      </c>
    </row>
    <row r="364" spans="3:97" x14ac:dyDescent="0.25">
      <c r="C364" s="333">
        <v>70</v>
      </c>
      <c r="D364" s="334">
        <v>0.82</v>
      </c>
      <c r="E364" s="334">
        <v>0.85</v>
      </c>
      <c r="F364" s="334">
        <v>0.87</v>
      </c>
      <c r="G364" s="334">
        <v>0.87</v>
      </c>
      <c r="H364" s="335">
        <v>0.85</v>
      </c>
      <c r="I364" s="334">
        <v>0.83</v>
      </c>
      <c r="J364" s="334">
        <v>0.79</v>
      </c>
      <c r="K364" s="334">
        <v>0.75</v>
      </c>
      <c r="L364" s="334">
        <v>0.69</v>
      </c>
      <c r="M364" s="334">
        <v>0.62</v>
      </c>
      <c r="O364" s="333">
        <v>330</v>
      </c>
      <c r="P364" s="334">
        <v>1</v>
      </c>
      <c r="Q364" s="334">
        <v>1.03</v>
      </c>
      <c r="R364" s="335">
        <v>1.04</v>
      </c>
      <c r="S364" s="334">
        <v>1.02</v>
      </c>
      <c r="T364" s="334">
        <v>0.99</v>
      </c>
      <c r="V364" s="333">
        <v>330</v>
      </c>
      <c r="W364" s="334">
        <v>1</v>
      </c>
      <c r="X364" s="334">
        <v>1.06</v>
      </c>
      <c r="Y364" s="335">
        <v>1.0900000000000001</v>
      </c>
      <c r="Z364" s="334">
        <v>1.1000000000000001</v>
      </c>
      <c r="AA364" s="334">
        <v>1.0900000000000001</v>
      </c>
      <c r="AC364" s="333">
        <v>330</v>
      </c>
      <c r="AD364" s="334">
        <v>1</v>
      </c>
      <c r="AE364" s="334">
        <v>1.0900000000000001</v>
      </c>
      <c r="AF364" s="335">
        <v>1.1599999999999999</v>
      </c>
      <c r="AG364" s="334">
        <v>1.21</v>
      </c>
      <c r="AH364" s="334">
        <v>1.22</v>
      </c>
      <c r="AJ364" s="333">
        <v>330</v>
      </c>
      <c r="AK364" s="334">
        <v>1</v>
      </c>
      <c r="AL364" s="334">
        <v>1.1399999999999999</v>
      </c>
      <c r="AM364" s="335">
        <v>1.27</v>
      </c>
      <c r="AN364" s="334">
        <v>1.37</v>
      </c>
      <c r="AO364" s="334">
        <v>1.43</v>
      </c>
      <c r="AQ364" s="333">
        <v>330</v>
      </c>
      <c r="AR364" s="334">
        <v>1</v>
      </c>
      <c r="AS364" s="334">
        <v>1.21</v>
      </c>
      <c r="AT364" s="335">
        <v>1.4</v>
      </c>
      <c r="AU364" s="334">
        <v>1.55</v>
      </c>
      <c r="AV364" s="334">
        <v>1.67</v>
      </c>
      <c r="AX364" s="333">
        <v>330</v>
      </c>
      <c r="AY364" s="334">
        <v>1</v>
      </c>
      <c r="AZ364" s="334">
        <v>1.27</v>
      </c>
      <c r="BA364" s="335">
        <v>1.5</v>
      </c>
      <c r="BB364" s="334">
        <v>1.7</v>
      </c>
      <c r="BC364" s="334">
        <v>1.86</v>
      </c>
      <c r="BE364" s="333">
        <v>330</v>
      </c>
      <c r="BF364" s="334">
        <v>1</v>
      </c>
      <c r="BG364" s="334">
        <v>1.25</v>
      </c>
      <c r="BH364" s="335">
        <v>1.47</v>
      </c>
      <c r="BI364" s="334">
        <v>1.65</v>
      </c>
      <c r="BJ364" s="334">
        <v>1.79</v>
      </c>
      <c r="BL364" s="333">
        <v>330</v>
      </c>
      <c r="BM364" s="334">
        <v>1</v>
      </c>
      <c r="BN364" s="334">
        <v>1.17</v>
      </c>
      <c r="BO364" s="335">
        <v>1.32</v>
      </c>
      <c r="BP364" s="334">
        <v>1.44</v>
      </c>
      <c r="BQ364" s="334">
        <v>1.53</v>
      </c>
      <c r="BS364" s="333">
        <v>330</v>
      </c>
      <c r="BT364" s="334">
        <v>1</v>
      </c>
      <c r="BU364" s="334">
        <v>1.1200000000000001</v>
      </c>
      <c r="BV364" s="335">
        <v>1.21</v>
      </c>
      <c r="BW364" s="334">
        <v>1.27</v>
      </c>
      <c r="BX364" s="334">
        <v>1.31</v>
      </c>
      <c r="BZ364" s="333">
        <v>330</v>
      </c>
      <c r="CA364" s="334">
        <v>1</v>
      </c>
      <c r="CB364" s="334">
        <v>1.07</v>
      </c>
      <c r="CC364" s="335">
        <v>1.1100000000000001</v>
      </c>
      <c r="CD364" s="334">
        <v>1.1299999999999999</v>
      </c>
      <c r="CE364" s="334">
        <v>1.1299999999999999</v>
      </c>
      <c r="CG364" s="333">
        <v>330</v>
      </c>
      <c r="CH364" s="334">
        <v>1</v>
      </c>
      <c r="CI364" s="334">
        <v>1.03</v>
      </c>
      <c r="CJ364" s="335">
        <v>1.05</v>
      </c>
      <c r="CK364" s="334">
        <v>1.04</v>
      </c>
      <c r="CL364" s="334">
        <v>1.01</v>
      </c>
      <c r="CN364" s="333">
        <v>330</v>
      </c>
      <c r="CO364" s="334">
        <v>1</v>
      </c>
      <c r="CP364" s="334">
        <v>1.02</v>
      </c>
      <c r="CQ364" s="335">
        <v>1.02</v>
      </c>
      <c r="CR364" s="334">
        <v>1</v>
      </c>
      <c r="CS364" s="334">
        <v>0.96</v>
      </c>
    </row>
    <row r="365" spans="3:97" x14ac:dyDescent="0.25">
      <c r="C365" s="333">
        <v>80</v>
      </c>
      <c r="D365" s="334">
        <v>0.82</v>
      </c>
      <c r="E365" s="334">
        <v>0.84</v>
      </c>
      <c r="F365" s="334">
        <v>0.84</v>
      </c>
      <c r="G365" s="334">
        <v>0.84</v>
      </c>
      <c r="H365" s="335">
        <v>0.82</v>
      </c>
      <c r="I365" s="334">
        <v>0.79</v>
      </c>
      <c r="J365" s="334">
        <v>0.75</v>
      </c>
      <c r="K365" s="334">
        <v>0.7</v>
      </c>
      <c r="L365" s="334">
        <v>0.65</v>
      </c>
      <c r="M365" s="334">
        <v>0.59</v>
      </c>
      <c r="O365" s="333">
        <v>340</v>
      </c>
      <c r="P365" s="334">
        <v>1</v>
      </c>
      <c r="Q365" s="334">
        <v>1.03</v>
      </c>
      <c r="R365" s="335">
        <v>1.04</v>
      </c>
      <c r="S365" s="334">
        <v>1.02</v>
      </c>
      <c r="T365" s="334">
        <v>0.98</v>
      </c>
      <c r="V365" s="333">
        <v>340</v>
      </c>
      <c r="W365" s="334">
        <v>1</v>
      </c>
      <c r="X365" s="334">
        <v>1.06</v>
      </c>
      <c r="Y365" s="335">
        <v>1.0900000000000001</v>
      </c>
      <c r="Z365" s="334">
        <v>1.1000000000000001</v>
      </c>
      <c r="AA365" s="334">
        <v>1.0900000000000001</v>
      </c>
      <c r="AC365" s="333">
        <v>340</v>
      </c>
      <c r="AD365" s="334">
        <v>1</v>
      </c>
      <c r="AE365" s="334">
        <v>1.1000000000000001</v>
      </c>
      <c r="AF365" s="335">
        <v>1.18</v>
      </c>
      <c r="AG365" s="334">
        <v>1.22</v>
      </c>
      <c r="AH365" s="334">
        <v>1.25</v>
      </c>
      <c r="AJ365" s="333">
        <v>340</v>
      </c>
      <c r="AK365" s="334">
        <v>1</v>
      </c>
      <c r="AL365" s="334">
        <v>1.1599999999999999</v>
      </c>
      <c r="AM365" s="335">
        <v>1.29</v>
      </c>
      <c r="AN365" s="334">
        <v>1.39</v>
      </c>
      <c r="AO365" s="334">
        <v>1.46</v>
      </c>
      <c r="AQ365" s="333">
        <v>340</v>
      </c>
      <c r="AR365" s="334">
        <v>1</v>
      </c>
      <c r="AS365" s="334">
        <v>1.23</v>
      </c>
      <c r="AT365" s="335">
        <v>1.44</v>
      </c>
      <c r="AU365" s="334">
        <v>1.6</v>
      </c>
      <c r="AV365" s="334">
        <v>1.73</v>
      </c>
      <c r="AX365" s="333">
        <v>340</v>
      </c>
      <c r="AY365" s="334">
        <v>1</v>
      </c>
      <c r="AZ365" s="334">
        <v>1.28</v>
      </c>
      <c r="BA365" s="335">
        <v>1.55</v>
      </c>
      <c r="BB365" s="334">
        <v>1.77</v>
      </c>
      <c r="BC365" s="334">
        <v>1.94</v>
      </c>
      <c r="BE365" s="333">
        <v>340</v>
      </c>
      <c r="BF365" s="334">
        <v>1</v>
      </c>
      <c r="BG365" s="334">
        <v>1.28</v>
      </c>
      <c r="BH365" s="335">
        <v>1.51</v>
      </c>
      <c r="BI365" s="334">
        <v>1.71</v>
      </c>
      <c r="BJ365" s="334">
        <v>1.88</v>
      </c>
      <c r="BL365" s="333">
        <v>340</v>
      </c>
      <c r="BM365" s="334">
        <v>1</v>
      </c>
      <c r="BN365" s="334">
        <v>1.19</v>
      </c>
      <c r="BO365" s="335">
        <v>1.35</v>
      </c>
      <c r="BP365" s="334">
        <v>1.48</v>
      </c>
      <c r="BQ365" s="334">
        <v>1.58</v>
      </c>
      <c r="BS365" s="333">
        <v>340</v>
      </c>
      <c r="BT365" s="334">
        <v>1</v>
      </c>
      <c r="BU365" s="334">
        <v>1.1299999999999999</v>
      </c>
      <c r="BV365" s="335">
        <v>1.23</v>
      </c>
      <c r="BW365" s="334">
        <v>1.29</v>
      </c>
      <c r="BX365" s="334">
        <v>1.34</v>
      </c>
      <c r="BZ365" s="333">
        <v>340</v>
      </c>
      <c r="CA365" s="334">
        <v>1</v>
      </c>
      <c r="CB365" s="334">
        <v>1.07</v>
      </c>
      <c r="CC365" s="335">
        <v>1.1200000000000001</v>
      </c>
      <c r="CD365" s="334">
        <v>1.1399999999999999</v>
      </c>
      <c r="CE365" s="334">
        <v>1.1399999999999999</v>
      </c>
      <c r="CG365" s="333">
        <v>340</v>
      </c>
      <c r="CH365" s="334">
        <v>1</v>
      </c>
      <c r="CI365" s="334">
        <v>1.03</v>
      </c>
      <c r="CJ365" s="335">
        <v>1.05</v>
      </c>
      <c r="CK365" s="334">
        <v>1.04</v>
      </c>
      <c r="CL365" s="334">
        <v>1.01</v>
      </c>
      <c r="CN365" s="333">
        <v>340</v>
      </c>
      <c r="CO365" s="334">
        <v>1</v>
      </c>
      <c r="CP365" s="334">
        <v>1.02</v>
      </c>
      <c r="CQ365" s="335">
        <v>1.02</v>
      </c>
      <c r="CR365" s="334">
        <v>1</v>
      </c>
      <c r="CS365" s="334">
        <v>0.95</v>
      </c>
    </row>
    <row r="366" spans="3:97" x14ac:dyDescent="0.25">
      <c r="C366" s="333">
        <v>90</v>
      </c>
      <c r="D366" s="334">
        <v>0.82</v>
      </c>
      <c r="E366" s="334">
        <v>0.82</v>
      </c>
      <c r="F366" s="334">
        <v>0.82</v>
      </c>
      <c r="G366" s="334">
        <v>0.8</v>
      </c>
      <c r="H366" s="335">
        <v>0.78</v>
      </c>
      <c r="I366" s="334">
        <v>0.75</v>
      </c>
      <c r="J366" s="334">
        <v>0.71</v>
      </c>
      <c r="K366" s="334">
        <v>0.66</v>
      </c>
      <c r="L366" s="334">
        <v>0.61</v>
      </c>
      <c r="M366" s="334">
        <v>0.55000000000000004</v>
      </c>
      <c r="O366" s="333">
        <v>350</v>
      </c>
      <c r="P366" s="334">
        <v>1</v>
      </c>
      <c r="Q366" s="334">
        <v>1.03</v>
      </c>
      <c r="R366" s="335">
        <v>1.04</v>
      </c>
      <c r="S366" s="334">
        <v>1.02</v>
      </c>
      <c r="T366" s="334">
        <v>0.98</v>
      </c>
      <c r="V366" s="333">
        <v>350</v>
      </c>
      <c r="W366" s="334">
        <v>1</v>
      </c>
      <c r="X366" s="334">
        <v>1.06</v>
      </c>
      <c r="Y366" s="335">
        <v>1.0900000000000001</v>
      </c>
      <c r="Z366" s="334">
        <v>1.1000000000000001</v>
      </c>
      <c r="AA366" s="334">
        <v>1.0900000000000001</v>
      </c>
      <c r="AC366" s="333">
        <v>350</v>
      </c>
      <c r="AD366" s="334">
        <v>1</v>
      </c>
      <c r="AE366" s="334">
        <v>1.1000000000000001</v>
      </c>
      <c r="AF366" s="335">
        <v>1.18</v>
      </c>
      <c r="AG366" s="334">
        <v>1.23</v>
      </c>
      <c r="AH366" s="334">
        <v>1.26</v>
      </c>
      <c r="AJ366" s="333">
        <v>350</v>
      </c>
      <c r="AK366" s="334">
        <v>1</v>
      </c>
      <c r="AL366" s="334">
        <v>1.17</v>
      </c>
      <c r="AM366" s="335">
        <v>1.3</v>
      </c>
      <c r="AN366" s="334">
        <v>1.42</v>
      </c>
      <c r="AO366" s="334">
        <v>1.49</v>
      </c>
      <c r="AQ366" s="333">
        <v>350</v>
      </c>
      <c r="AR366" s="334">
        <v>1</v>
      </c>
      <c r="AS366" s="334">
        <v>1.24</v>
      </c>
      <c r="AT366" s="335">
        <v>1.45</v>
      </c>
      <c r="AU366" s="334">
        <v>1.63</v>
      </c>
      <c r="AV366" s="334">
        <v>1.77</v>
      </c>
      <c r="AX366" s="333">
        <v>350</v>
      </c>
      <c r="AY366" s="334">
        <v>1</v>
      </c>
      <c r="AZ366" s="334">
        <v>1.3</v>
      </c>
      <c r="BA366" s="335">
        <v>1.56</v>
      </c>
      <c r="BB366" s="334">
        <v>1.8</v>
      </c>
      <c r="BC366" s="334">
        <v>1.98</v>
      </c>
      <c r="BE366" s="333">
        <v>350</v>
      </c>
      <c r="BF366" s="334">
        <v>1</v>
      </c>
      <c r="BG366" s="334">
        <v>1.28</v>
      </c>
      <c r="BH366" s="335">
        <v>1.54</v>
      </c>
      <c r="BI366" s="334">
        <v>1.75</v>
      </c>
      <c r="BJ366" s="334">
        <v>1.92</v>
      </c>
      <c r="BL366" s="333">
        <v>350</v>
      </c>
      <c r="BM366" s="334">
        <v>1</v>
      </c>
      <c r="BN366" s="334">
        <v>1.2</v>
      </c>
      <c r="BO366" s="335">
        <v>1.37</v>
      </c>
      <c r="BP366" s="334">
        <v>1.52</v>
      </c>
      <c r="BQ366" s="334">
        <v>1.62</v>
      </c>
      <c r="BS366" s="333">
        <v>350</v>
      </c>
      <c r="BT366" s="334">
        <v>1</v>
      </c>
      <c r="BU366" s="334">
        <v>1.1299999999999999</v>
      </c>
      <c r="BV366" s="335">
        <v>1.24</v>
      </c>
      <c r="BW366" s="334">
        <v>1.31</v>
      </c>
      <c r="BX366" s="334">
        <v>1.36</v>
      </c>
      <c r="BZ366" s="333">
        <v>350</v>
      </c>
      <c r="CA366" s="334">
        <v>1</v>
      </c>
      <c r="CB366" s="334">
        <v>1.08</v>
      </c>
      <c r="CC366" s="335">
        <v>1.1200000000000001</v>
      </c>
      <c r="CD366" s="334">
        <v>1.1499999999999999</v>
      </c>
      <c r="CE366" s="334">
        <v>1.1399999999999999</v>
      </c>
      <c r="CG366" s="333">
        <v>350</v>
      </c>
      <c r="CH366" s="334">
        <v>1</v>
      </c>
      <c r="CI366" s="334">
        <v>1.03</v>
      </c>
      <c r="CJ366" s="335">
        <v>1.05</v>
      </c>
      <c r="CK366" s="334">
        <v>1.04</v>
      </c>
      <c r="CL366" s="334">
        <v>1.01</v>
      </c>
      <c r="CN366" s="333">
        <v>350</v>
      </c>
      <c r="CO366" s="334">
        <v>1</v>
      </c>
      <c r="CP366" s="334">
        <v>1.02</v>
      </c>
      <c r="CQ366" s="335">
        <v>1.02</v>
      </c>
      <c r="CR366" s="334">
        <v>0.99</v>
      </c>
      <c r="CS366" s="334">
        <v>0.95</v>
      </c>
    </row>
    <row r="367" spans="3:97" x14ac:dyDescent="0.25">
      <c r="C367" s="333">
        <v>100</v>
      </c>
      <c r="D367" s="334">
        <v>0.82</v>
      </c>
      <c r="E367" s="334">
        <v>0.81</v>
      </c>
      <c r="F367" s="334">
        <v>0.79</v>
      </c>
      <c r="G367" s="334">
        <v>0.76</v>
      </c>
      <c r="H367" s="335">
        <v>0.73</v>
      </c>
      <c r="I367" s="334">
        <v>0.7</v>
      </c>
      <c r="J367" s="334">
        <v>0.66</v>
      </c>
      <c r="K367" s="334">
        <v>0.61</v>
      </c>
      <c r="L367" s="334">
        <v>0.56000000000000005</v>
      </c>
      <c r="M367" s="334">
        <v>0.52</v>
      </c>
      <c r="O367" s="333">
        <v>0</v>
      </c>
      <c r="P367" s="334">
        <v>1</v>
      </c>
      <c r="Q367" s="334">
        <v>1.03</v>
      </c>
      <c r="R367" s="335">
        <v>1.04</v>
      </c>
      <c r="S367" s="334">
        <v>1.02</v>
      </c>
      <c r="T367" s="334">
        <v>0.98</v>
      </c>
      <c r="V367" s="333">
        <v>0</v>
      </c>
      <c r="W367" s="334">
        <v>1</v>
      </c>
      <c r="X367" s="334">
        <v>1.06</v>
      </c>
      <c r="Y367" s="335">
        <v>1.0900000000000001</v>
      </c>
      <c r="Z367" s="334">
        <v>1.1000000000000001</v>
      </c>
      <c r="AA367" s="334">
        <v>1.0900000000000001</v>
      </c>
      <c r="AC367" s="333">
        <v>0</v>
      </c>
      <c r="AD367" s="334">
        <v>1</v>
      </c>
      <c r="AE367" s="334">
        <v>1.1100000000000001</v>
      </c>
      <c r="AF367" s="335">
        <v>1.19</v>
      </c>
      <c r="AG367" s="334">
        <v>1.24</v>
      </c>
      <c r="AH367" s="334">
        <v>1.26</v>
      </c>
      <c r="AJ367" s="333">
        <v>0</v>
      </c>
      <c r="AK367" s="334">
        <v>1</v>
      </c>
      <c r="AL367" s="334">
        <v>1.17</v>
      </c>
      <c r="AM367" s="335">
        <v>1.31</v>
      </c>
      <c r="AN367" s="334">
        <v>1.43</v>
      </c>
      <c r="AO367" s="334">
        <v>1.5</v>
      </c>
      <c r="AQ367" s="333">
        <v>0</v>
      </c>
      <c r="AR367" s="334">
        <v>1</v>
      </c>
      <c r="AS367" s="334">
        <v>1.24</v>
      </c>
      <c r="AT367" s="335">
        <v>1.46</v>
      </c>
      <c r="AU367" s="334">
        <v>1.64</v>
      </c>
      <c r="AV367" s="334">
        <v>1.78</v>
      </c>
      <c r="AX367" s="333">
        <v>0</v>
      </c>
      <c r="AY367" s="334">
        <v>1</v>
      </c>
      <c r="AZ367" s="334">
        <v>1.3</v>
      </c>
      <c r="BA367" s="335">
        <v>1.58</v>
      </c>
      <c r="BB367" s="334">
        <v>1.81</v>
      </c>
      <c r="BC367" s="334">
        <v>2</v>
      </c>
      <c r="BE367" s="333">
        <v>0</v>
      </c>
      <c r="BF367" s="334">
        <v>1</v>
      </c>
      <c r="BG367" s="334">
        <v>1.29</v>
      </c>
      <c r="BH367" s="335">
        <v>1.54</v>
      </c>
      <c r="BI367" s="334">
        <v>1.76</v>
      </c>
      <c r="BJ367" s="334">
        <v>1.93</v>
      </c>
      <c r="BL367" s="333">
        <v>0</v>
      </c>
      <c r="BM367" s="334">
        <v>1</v>
      </c>
      <c r="BN367" s="334">
        <v>1.2</v>
      </c>
      <c r="BO367" s="335">
        <v>1.37</v>
      </c>
      <c r="BP367" s="334">
        <v>1.53</v>
      </c>
      <c r="BQ367" s="334">
        <v>1.63</v>
      </c>
      <c r="BS367" s="333">
        <v>0</v>
      </c>
      <c r="BT367" s="334">
        <v>1</v>
      </c>
      <c r="BU367" s="334">
        <v>1.1399999999999999</v>
      </c>
      <c r="BV367" s="335">
        <v>1.24</v>
      </c>
      <c r="BW367" s="334">
        <v>1.32</v>
      </c>
      <c r="BX367" s="334">
        <v>1.36</v>
      </c>
      <c r="BZ367" s="333">
        <v>0</v>
      </c>
      <c r="CA367" s="334">
        <v>1</v>
      </c>
      <c r="CB367" s="334">
        <v>1.08</v>
      </c>
      <c r="CC367" s="335">
        <v>1.1200000000000001</v>
      </c>
      <c r="CD367" s="334">
        <v>1.1499999999999999</v>
      </c>
      <c r="CE367" s="334">
        <v>1.1399999999999999</v>
      </c>
      <c r="CG367" s="333">
        <v>0</v>
      </c>
      <c r="CH367" s="334">
        <v>1</v>
      </c>
      <c r="CI367" s="334">
        <v>1.03</v>
      </c>
      <c r="CJ367" s="335">
        <v>1.05</v>
      </c>
      <c r="CK367" s="334">
        <v>1.04</v>
      </c>
      <c r="CL367" s="334">
        <v>1</v>
      </c>
      <c r="CN367" s="333">
        <v>0</v>
      </c>
      <c r="CO367" s="334">
        <v>1</v>
      </c>
      <c r="CP367" s="334">
        <v>1.02</v>
      </c>
      <c r="CQ367" s="335">
        <v>1.02</v>
      </c>
      <c r="CR367" s="334">
        <v>0.99</v>
      </c>
      <c r="CS367" s="334">
        <v>0.94</v>
      </c>
    </row>
    <row r="368" spans="3:97" x14ac:dyDescent="0.25">
      <c r="C368" s="333">
        <v>110</v>
      </c>
      <c r="D368" s="334">
        <v>0.82</v>
      </c>
      <c r="E368" s="334">
        <v>0.8</v>
      </c>
      <c r="F368" s="334">
        <v>0.77</v>
      </c>
      <c r="G368" s="334">
        <v>0.73</v>
      </c>
      <c r="H368" s="335">
        <v>0.69</v>
      </c>
      <c r="I368" s="334">
        <v>0.65</v>
      </c>
      <c r="J368" s="334">
        <v>0.61</v>
      </c>
      <c r="K368" s="334">
        <v>0.56000000000000005</v>
      </c>
      <c r="L368" s="334">
        <v>0.52</v>
      </c>
      <c r="M368" s="334">
        <v>0.47</v>
      </c>
      <c r="O368" s="333">
        <v>10</v>
      </c>
      <c r="P368" s="334">
        <v>1</v>
      </c>
      <c r="Q368" s="334">
        <v>1.03</v>
      </c>
      <c r="R368" s="335">
        <v>1.04</v>
      </c>
      <c r="S368" s="334">
        <v>1.02</v>
      </c>
      <c r="T368" s="334">
        <v>0.98</v>
      </c>
      <c r="V368" s="333">
        <v>10</v>
      </c>
      <c r="W368" s="334">
        <v>1</v>
      </c>
      <c r="X368" s="334">
        <v>1.06</v>
      </c>
      <c r="Y368" s="335">
        <v>1.0900000000000001</v>
      </c>
      <c r="Z368" s="334">
        <v>1.0900000000000001</v>
      </c>
      <c r="AA368" s="334">
        <v>1.08</v>
      </c>
      <c r="AC368" s="333">
        <v>10</v>
      </c>
      <c r="AD368" s="334">
        <v>1</v>
      </c>
      <c r="AE368" s="334">
        <v>1.1000000000000001</v>
      </c>
      <c r="AF368" s="335">
        <v>1.18</v>
      </c>
      <c r="AG368" s="334">
        <v>1.24</v>
      </c>
      <c r="AH368" s="334">
        <v>1.26</v>
      </c>
      <c r="AJ368" s="333">
        <v>10</v>
      </c>
      <c r="AK368" s="334">
        <v>1</v>
      </c>
      <c r="AL368" s="334">
        <v>1.17</v>
      </c>
      <c r="AM368" s="335">
        <v>1.3</v>
      </c>
      <c r="AN368" s="334">
        <v>1.42</v>
      </c>
      <c r="AO368" s="334">
        <v>1.49</v>
      </c>
      <c r="AQ368" s="333">
        <v>10</v>
      </c>
      <c r="AR368" s="334">
        <v>1</v>
      </c>
      <c r="AS368" s="334">
        <v>1.23</v>
      </c>
      <c r="AT368" s="335">
        <v>1.45</v>
      </c>
      <c r="AU368" s="334">
        <v>1.63</v>
      </c>
      <c r="AV368" s="334">
        <v>1.77</v>
      </c>
      <c r="AX368" s="333">
        <v>10</v>
      </c>
      <c r="AY368" s="334">
        <v>1</v>
      </c>
      <c r="AZ368" s="334">
        <v>1.3</v>
      </c>
      <c r="BA368" s="335">
        <v>1.56</v>
      </c>
      <c r="BB368" s="334">
        <v>1.8</v>
      </c>
      <c r="BC368" s="334">
        <v>1.98</v>
      </c>
      <c r="BE368" s="333">
        <v>10</v>
      </c>
      <c r="BF368" s="334">
        <v>1</v>
      </c>
      <c r="BG368" s="334">
        <v>1.28</v>
      </c>
      <c r="BH368" s="335">
        <v>1.54</v>
      </c>
      <c r="BI368" s="334">
        <v>1.75</v>
      </c>
      <c r="BJ368" s="334">
        <v>1.92</v>
      </c>
      <c r="BL368" s="333">
        <v>10</v>
      </c>
      <c r="BM368" s="334">
        <v>1</v>
      </c>
      <c r="BN368" s="334">
        <v>1.2</v>
      </c>
      <c r="BO368" s="335">
        <v>1.37</v>
      </c>
      <c r="BP368" s="334">
        <v>1.52</v>
      </c>
      <c r="BQ368" s="334">
        <v>1.62</v>
      </c>
      <c r="BS368" s="333">
        <v>10</v>
      </c>
      <c r="BT368" s="334">
        <v>1</v>
      </c>
      <c r="BU368" s="334">
        <v>1.1299999999999999</v>
      </c>
      <c r="BV368" s="335">
        <v>1.24</v>
      </c>
      <c r="BW368" s="334">
        <v>1.31</v>
      </c>
      <c r="BX368" s="334">
        <v>1.36</v>
      </c>
      <c r="BZ368" s="333">
        <v>10</v>
      </c>
      <c r="CA368" s="334">
        <v>1</v>
      </c>
      <c r="CB368" s="334">
        <v>1.08</v>
      </c>
      <c r="CC368" s="335">
        <v>1.1200000000000001</v>
      </c>
      <c r="CD368" s="334">
        <v>1.1399999999999999</v>
      </c>
      <c r="CE368" s="334">
        <v>1.1399999999999999</v>
      </c>
      <c r="CG368" s="333">
        <v>10</v>
      </c>
      <c r="CH368" s="334">
        <v>1</v>
      </c>
      <c r="CI368" s="334">
        <v>1.03</v>
      </c>
      <c r="CJ368" s="335">
        <v>1.05</v>
      </c>
      <c r="CK368" s="334">
        <v>1.03</v>
      </c>
      <c r="CL368" s="334">
        <v>1</v>
      </c>
      <c r="CN368" s="333">
        <v>10</v>
      </c>
      <c r="CO368" s="334">
        <v>1</v>
      </c>
      <c r="CP368" s="334">
        <v>1.02</v>
      </c>
      <c r="CQ368" s="335">
        <v>1.02</v>
      </c>
      <c r="CR368" s="334">
        <v>0.99</v>
      </c>
      <c r="CS368" s="334">
        <v>0.95</v>
      </c>
    </row>
    <row r="369" spans="3:97" x14ac:dyDescent="0.25">
      <c r="C369" s="333">
        <v>120</v>
      </c>
      <c r="D369" s="334">
        <v>0.82</v>
      </c>
      <c r="E369" s="334">
        <v>0.79</v>
      </c>
      <c r="F369" s="334">
        <v>0.75</v>
      </c>
      <c r="G369" s="334">
        <v>0.7</v>
      </c>
      <c r="H369" s="335">
        <v>0.65</v>
      </c>
      <c r="I369" s="334">
        <v>0.6</v>
      </c>
      <c r="J369" s="334">
        <v>0.56000000000000005</v>
      </c>
      <c r="K369" s="334">
        <v>0.52</v>
      </c>
      <c r="L369" s="334">
        <v>0.47</v>
      </c>
      <c r="M369" s="334">
        <v>0.42</v>
      </c>
      <c r="O369" s="333">
        <v>20</v>
      </c>
      <c r="P369" s="334">
        <v>1</v>
      </c>
      <c r="Q369" s="334">
        <v>1.03</v>
      </c>
      <c r="R369" s="335">
        <v>1.03</v>
      </c>
      <c r="S369" s="334">
        <v>1.01</v>
      </c>
      <c r="T369" s="334">
        <v>0.98</v>
      </c>
      <c r="V369" s="333">
        <v>20</v>
      </c>
      <c r="W369" s="334">
        <v>1</v>
      </c>
      <c r="X369" s="334">
        <v>1.05</v>
      </c>
      <c r="Y369" s="335">
        <v>1.08</v>
      </c>
      <c r="Z369" s="334">
        <v>1.0900000000000001</v>
      </c>
      <c r="AA369" s="334">
        <v>1.07</v>
      </c>
      <c r="AC369" s="333">
        <v>20</v>
      </c>
      <c r="AD369" s="334">
        <v>1</v>
      </c>
      <c r="AE369" s="334">
        <v>1.1000000000000001</v>
      </c>
      <c r="AF369" s="335">
        <v>1.18</v>
      </c>
      <c r="AG369" s="334">
        <v>1.23</v>
      </c>
      <c r="AH369" s="334">
        <v>1.25</v>
      </c>
      <c r="AJ369" s="333">
        <v>20</v>
      </c>
      <c r="AK369" s="334">
        <v>1</v>
      </c>
      <c r="AL369" s="334">
        <v>1.1599999999999999</v>
      </c>
      <c r="AM369" s="335">
        <v>1.29</v>
      </c>
      <c r="AN369" s="334">
        <v>1.39</v>
      </c>
      <c r="AO369" s="334">
        <v>1.46</v>
      </c>
      <c r="AQ369" s="333">
        <v>20</v>
      </c>
      <c r="AR369" s="334">
        <v>1</v>
      </c>
      <c r="AS369" s="334">
        <v>1.23</v>
      </c>
      <c r="AT369" s="335">
        <v>1.42</v>
      </c>
      <c r="AU369" s="334">
        <v>1.6</v>
      </c>
      <c r="AV369" s="334">
        <v>1.73</v>
      </c>
      <c r="AX369" s="333">
        <v>20</v>
      </c>
      <c r="AY369" s="334">
        <v>1</v>
      </c>
      <c r="AZ369" s="334">
        <v>1.28</v>
      </c>
      <c r="BA369" s="335">
        <v>1.55</v>
      </c>
      <c r="BB369" s="334">
        <v>1.77</v>
      </c>
      <c r="BC369" s="334">
        <v>1.94</v>
      </c>
      <c r="BE369" s="333">
        <v>20</v>
      </c>
      <c r="BF369" s="334">
        <v>1</v>
      </c>
      <c r="BG369" s="334">
        <v>1.28</v>
      </c>
      <c r="BH369" s="335">
        <v>1.51</v>
      </c>
      <c r="BI369" s="334">
        <v>1.71</v>
      </c>
      <c r="BJ369" s="334">
        <v>1.88</v>
      </c>
      <c r="BL369" s="333">
        <v>20</v>
      </c>
      <c r="BM369" s="334">
        <v>1</v>
      </c>
      <c r="BN369" s="334">
        <v>1.19</v>
      </c>
      <c r="BO369" s="335">
        <v>1.35</v>
      </c>
      <c r="BP369" s="334">
        <v>1.48</v>
      </c>
      <c r="BQ369" s="334">
        <v>1.59</v>
      </c>
      <c r="BS369" s="333">
        <v>20</v>
      </c>
      <c r="BT369" s="334">
        <v>1</v>
      </c>
      <c r="BU369" s="334">
        <v>1.1299999999999999</v>
      </c>
      <c r="BV369" s="335">
        <v>1.23</v>
      </c>
      <c r="BW369" s="334">
        <v>1.29</v>
      </c>
      <c r="BX369" s="334">
        <v>1.34</v>
      </c>
      <c r="BZ369" s="333">
        <v>20</v>
      </c>
      <c r="CA369" s="334">
        <v>1</v>
      </c>
      <c r="CB369" s="334">
        <v>1.07</v>
      </c>
      <c r="CC369" s="335">
        <v>1.1200000000000001</v>
      </c>
      <c r="CD369" s="334">
        <v>1.1399999999999999</v>
      </c>
      <c r="CE369" s="334">
        <v>1.1299999999999999</v>
      </c>
      <c r="CG369" s="333">
        <v>20</v>
      </c>
      <c r="CH369" s="334">
        <v>1</v>
      </c>
      <c r="CI369" s="334">
        <v>1.03</v>
      </c>
      <c r="CJ369" s="335">
        <v>1.04</v>
      </c>
      <c r="CK369" s="334">
        <v>1.03</v>
      </c>
      <c r="CL369" s="334">
        <v>1</v>
      </c>
      <c r="CN369" s="333">
        <v>20</v>
      </c>
      <c r="CO369" s="334">
        <v>1</v>
      </c>
      <c r="CP369" s="334">
        <v>1.02</v>
      </c>
      <c r="CQ369" s="335">
        <v>1.02</v>
      </c>
      <c r="CR369" s="334">
        <v>0.99</v>
      </c>
      <c r="CS369" s="334">
        <v>0.95</v>
      </c>
    </row>
    <row r="370" spans="3:97" x14ac:dyDescent="0.25">
      <c r="C370" s="333">
        <v>130</v>
      </c>
      <c r="D370" s="334">
        <v>0.82</v>
      </c>
      <c r="E370" s="334">
        <v>0.78</v>
      </c>
      <c r="F370" s="334">
        <v>0.72</v>
      </c>
      <c r="G370" s="334">
        <v>0.66</v>
      </c>
      <c r="H370" s="335">
        <v>0.61</v>
      </c>
      <c r="I370" s="334">
        <v>0.55000000000000004</v>
      </c>
      <c r="J370" s="334">
        <v>0.51</v>
      </c>
      <c r="K370" s="334">
        <v>0.47</v>
      </c>
      <c r="L370" s="334">
        <v>0.42</v>
      </c>
      <c r="M370" s="334">
        <v>0.38</v>
      </c>
      <c r="O370" s="333">
        <v>30</v>
      </c>
      <c r="P370" s="334">
        <v>1</v>
      </c>
      <c r="Q370" s="334">
        <v>1.02</v>
      </c>
      <c r="R370" s="335">
        <v>1.03</v>
      </c>
      <c r="S370" s="334">
        <v>1.01</v>
      </c>
      <c r="T370" s="334">
        <v>0.98</v>
      </c>
      <c r="V370" s="333">
        <v>30</v>
      </c>
      <c r="W370" s="334">
        <v>1</v>
      </c>
      <c r="X370" s="334">
        <v>1.05</v>
      </c>
      <c r="Y370" s="335">
        <v>1.07</v>
      </c>
      <c r="Z370" s="334">
        <v>1.08</v>
      </c>
      <c r="AA370" s="334">
        <v>1.06</v>
      </c>
      <c r="AC370" s="333">
        <v>30</v>
      </c>
      <c r="AD370" s="334">
        <v>1</v>
      </c>
      <c r="AE370" s="334">
        <v>1.0900000000000001</v>
      </c>
      <c r="AF370" s="335">
        <v>1.17</v>
      </c>
      <c r="AG370" s="334">
        <v>1.21</v>
      </c>
      <c r="AH370" s="334">
        <v>1.23</v>
      </c>
      <c r="AJ370" s="333">
        <v>30</v>
      </c>
      <c r="AK370" s="334">
        <v>1</v>
      </c>
      <c r="AL370" s="334">
        <v>1.1399999999999999</v>
      </c>
      <c r="AM370" s="335">
        <v>1.27</v>
      </c>
      <c r="AN370" s="334">
        <v>1.37</v>
      </c>
      <c r="AO370" s="334">
        <v>1.43</v>
      </c>
      <c r="AQ370" s="333">
        <v>30</v>
      </c>
      <c r="AR370" s="334">
        <v>1</v>
      </c>
      <c r="AS370" s="334">
        <v>1.21</v>
      </c>
      <c r="AT370" s="335">
        <v>1.4</v>
      </c>
      <c r="AU370" s="334">
        <v>1.55</v>
      </c>
      <c r="AV370" s="334">
        <v>1.67</v>
      </c>
      <c r="AX370" s="333">
        <v>30</v>
      </c>
      <c r="AY370" s="334">
        <v>1</v>
      </c>
      <c r="AZ370" s="334">
        <v>1.27</v>
      </c>
      <c r="BA370" s="335">
        <v>1.5</v>
      </c>
      <c r="BB370" s="334">
        <v>1.7</v>
      </c>
      <c r="BC370" s="334">
        <v>1.86</v>
      </c>
      <c r="BE370" s="333">
        <v>30</v>
      </c>
      <c r="BF370" s="334">
        <v>1</v>
      </c>
      <c r="BG370" s="334">
        <v>1.25</v>
      </c>
      <c r="BH370" s="335">
        <v>1.47</v>
      </c>
      <c r="BI370" s="334">
        <v>1.65</v>
      </c>
      <c r="BJ370" s="334">
        <v>1.79</v>
      </c>
      <c r="BL370" s="333">
        <v>30</v>
      </c>
      <c r="BM370" s="334">
        <v>1</v>
      </c>
      <c r="BN370" s="334">
        <v>1.18</v>
      </c>
      <c r="BO370" s="335">
        <v>1.33</v>
      </c>
      <c r="BP370" s="334">
        <v>1.44</v>
      </c>
      <c r="BQ370" s="334">
        <v>1.54</v>
      </c>
      <c r="BS370" s="333">
        <v>30</v>
      </c>
      <c r="BT370" s="334">
        <v>1</v>
      </c>
      <c r="BU370" s="334">
        <v>1.1200000000000001</v>
      </c>
      <c r="BV370" s="335">
        <v>1.21</v>
      </c>
      <c r="BW370" s="334">
        <v>1.27</v>
      </c>
      <c r="BX370" s="334">
        <v>1.31</v>
      </c>
      <c r="BZ370" s="333">
        <v>30</v>
      </c>
      <c r="CA370" s="334">
        <v>1</v>
      </c>
      <c r="CB370" s="334">
        <v>1.07</v>
      </c>
      <c r="CC370" s="335">
        <v>1.1100000000000001</v>
      </c>
      <c r="CD370" s="334">
        <v>1.1299999999999999</v>
      </c>
      <c r="CE370" s="334">
        <v>1.1200000000000001</v>
      </c>
      <c r="CG370" s="333">
        <v>30</v>
      </c>
      <c r="CH370" s="334">
        <v>1</v>
      </c>
      <c r="CI370" s="334">
        <v>1.03</v>
      </c>
      <c r="CJ370" s="335">
        <v>1.04</v>
      </c>
      <c r="CK370" s="334">
        <v>1.03</v>
      </c>
      <c r="CL370" s="334">
        <v>1</v>
      </c>
      <c r="CN370" s="333">
        <v>30</v>
      </c>
      <c r="CO370" s="334">
        <v>1</v>
      </c>
      <c r="CP370" s="334">
        <v>1.02</v>
      </c>
      <c r="CQ370" s="335">
        <v>1.02</v>
      </c>
      <c r="CR370" s="334">
        <v>0.99</v>
      </c>
      <c r="CS370" s="334">
        <v>0.95</v>
      </c>
    </row>
    <row r="371" spans="3:97" x14ac:dyDescent="0.25">
      <c r="C371" s="333">
        <v>140</v>
      </c>
      <c r="D371" s="334">
        <v>0.82</v>
      </c>
      <c r="E371" s="334">
        <v>0.76</v>
      </c>
      <c r="F371" s="334">
        <v>0.7</v>
      </c>
      <c r="G371" s="334">
        <v>0.64</v>
      </c>
      <c r="H371" s="335">
        <v>0.56999999999999995</v>
      </c>
      <c r="I371" s="334">
        <v>0.51</v>
      </c>
      <c r="J371" s="334">
        <v>0.46</v>
      </c>
      <c r="K371" s="334">
        <v>0.42</v>
      </c>
      <c r="L371" s="334">
        <v>0.38</v>
      </c>
      <c r="M371" s="334">
        <v>0.35</v>
      </c>
      <c r="O371" s="333">
        <v>40</v>
      </c>
      <c r="P371" s="334">
        <v>1</v>
      </c>
      <c r="Q371" s="334">
        <v>1.02</v>
      </c>
      <c r="R371" s="335">
        <v>1.02</v>
      </c>
      <c r="S371" s="334">
        <v>1.01</v>
      </c>
      <c r="T371" s="334">
        <v>0.97</v>
      </c>
      <c r="V371" s="333">
        <v>40</v>
      </c>
      <c r="W371" s="334">
        <v>1</v>
      </c>
      <c r="X371" s="334">
        <v>1.04</v>
      </c>
      <c r="Y371" s="335">
        <v>1.06</v>
      </c>
      <c r="Z371" s="334">
        <v>1.07</v>
      </c>
      <c r="AA371" s="334">
        <v>1.05</v>
      </c>
      <c r="AC371" s="333">
        <v>40</v>
      </c>
      <c r="AD371" s="334">
        <v>1</v>
      </c>
      <c r="AE371" s="334">
        <v>1.0900000000000001</v>
      </c>
      <c r="AF371" s="335">
        <v>1.1499999999999999</v>
      </c>
      <c r="AG371" s="334">
        <v>1.18</v>
      </c>
      <c r="AH371" s="334">
        <v>1.2</v>
      </c>
      <c r="AJ371" s="333">
        <v>40</v>
      </c>
      <c r="AK371" s="334">
        <v>1</v>
      </c>
      <c r="AL371" s="334">
        <v>1.1299999999999999</v>
      </c>
      <c r="AM371" s="335">
        <v>1.24</v>
      </c>
      <c r="AN371" s="334">
        <v>1.32</v>
      </c>
      <c r="AO371" s="334">
        <v>1.38</v>
      </c>
      <c r="AQ371" s="333">
        <v>40</v>
      </c>
      <c r="AR371" s="334">
        <v>1</v>
      </c>
      <c r="AS371" s="334">
        <v>1.18</v>
      </c>
      <c r="AT371" s="335">
        <v>1.35</v>
      </c>
      <c r="AU371" s="334">
        <v>1.47</v>
      </c>
      <c r="AV371" s="334">
        <v>1.58</v>
      </c>
      <c r="AX371" s="333">
        <v>40</v>
      </c>
      <c r="AY371" s="334">
        <v>1</v>
      </c>
      <c r="AZ371" s="334">
        <v>1.23</v>
      </c>
      <c r="BA371" s="335">
        <v>1.44</v>
      </c>
      <c r="BB371" s="334">
        <v>1.63</v>
      </c>
      <c r="BC371" s="334">
        <v>1.75</v>
      </c>
      <c r="BE371" s="333">
        <v>40</v>
      </c>
      <c r="BF371" s="334">
        <v>1</v>
      </c>
      <c r="BG371" s="334">
        <v>1.22</v>
      </c>
      <c r="BH371" s="335">
        <v>1.42</v>
      </c>
      <c r="BI371" s="334">
        <v>1.58</v>
      </c>
      <c r="BJ371" s="334">
        <v>1.69</v>
      </c>
      <c r="BL371" s="333">
        <v>40</v>
      </c>
      <c r="BM371" s="334">
        <v>1</v>
      </c>
      <c r="BN371" s="334">
        <v>1.1599999999999999</v>
      </c>
      <c r="BO371" s="335">
        <v>1.29</v>
      </c>
      <c r="BP371" s="334">
        <v>1.4</v>
      </c>
      <c r="BQ371" s="334">
        <v>1.47</v>
      </c>
      <c r="BS371" s="333">
        <v>40</v>
      </c>
      <c r="BT371" s="334">
        <v>1</v>
      </c>
      <c r="BU371" s="334">
        <v>1.1100000000000001</v>
      </c>
      <c r="BV371" s="335">
        <v>1.18</v>
      </c>
      <c r="BW371" s="334">
        <v>1.24</v>
      </c>
      <c r="BX371" s="334">
        <v>1.27</v>
      </c>
      <c r="BZ371" s="333">
        <v>40</v>
      </c>
      <c r="CA371" s="334">
        <v>1</v>
      </c>
      <c r="CB371" s="334">
        <v>1.06</v>
      </c>
      <c r="CC371" s="335">
        <v>1.1000000000000001</v>
      </c>
      <c r="CD371" s="334">
        <v>1.1100000000000001</v>
      </c>
      <c r="CE371" s="334">
        <v>1.1100000000000001</v>
      </c>
      <c r="CG371" s="333">
        <v>40</v>
      </c>
      <c r="CH371" s="334">
        <v>1</v>
      </c>
      <c r="CI371" s="334">
        <v>1.03</v>
      </c>
      <c r="CJ371" s="335">
        <v>1.03</v>
      </c>
      <c r="CK371" s="334">
        <v>1.02</v>
      </c>
      <c r="CL371" s="334">
        <v>0.99</v>
      </c>
      <c r="CN371" s="333">
        <v>40</v>
      </c>
      <c r="CO371" s="334">
        <v>1</v>
      </c>
      <c r="CP371" s="334">
        <v>1.02</v>
      </c>
      <c r="CQ371" s="335">
        <v>1.01</v>
      </c>
      <c r="CR371" s="334">
        <v>0.99</v>
      </c>
      <c r="CS371" s="334">
        <v>0.95</v>
      </c>
    </row>
    <row r="372" spans="3:97" x14ac:dyDescent="0.25">
      <c r="C372" s="333">
        <v>150</v>
      </c>
      <c r="D372" s="334">
        <v>0.82</v>
      </c>
      <c r="E372" s="334">
        <v>0.76</v>
      </c>
      <c r="F372" s="334">
        <v>0.68</v>
      </c>
      <c r="G372" s="334">
        <v>0.61</v>
      </c>
      <c r="H372" s="335">
        <v>0.54</v>
      </c>
      <c r="I372" s="334">
        <v>0.47</v>
      </c>
      <c r="J372" s="334">
        <v>0.42</v>
      </c>
      <c r="K372" s="334">
        <v>0.38</v>
      </c>
      <c r="L372" s="334">
        <v>0.35</v>
      </c>
      <c r="M372" s="334">
        <v>0.32</v>
      </c>
      <c r="O372" s="333">
        <v>50</v>
      </c>
      <c r="P372" s="334">
        <v>1</v>
      </c>
      <c r="Q372" s="334">
        <v>1.02</v>
      </c>
      <c r="R372" s="335">
        <v>1.02</v>
      </c>
      <c r="S372" s="334">
        <v>1</v>
      </c>
      <c r="T372" s="334">
        <v>0.97</v>
      </c>
      <c r="V372" s="333">
        <v>50</v>
      </c>
      <c r="W372" s="334">
        <v>1</v>
      </c>
      <c r="X372" s="334">
        <v>1.03</v>
      </c>
      <c r="Y372" s="335">
        <v>1.05</v>
      </c>
      <c r="Z372" s="334">
        <v>1.05</v>
      </c>
      <c r="AA372" s="334">
        <v>1.03</v>
      </c>
      <c r="AC372" s="333">
        <v>50</v>
      </c>
      <c r="AD372" s="334">
        <v>1</v>
      </c>
      <c r="AE372" s="334">
        <v>1.07</v>
      </c>
      <c r="AF372" s="335">
        <v>1.1299999999999999</v>
      </c>
      <c r="AG372" s="334">
        <v>1.1599999999999999</v>
      </c>
      <c r="AH372" s="334">
        <v>1.17</v>
      </c>
      <c r="AJ372" s="333">
        <v>50</v>
      </c>
      <c r="AK372" s="334">
        <v>1</v>
      </c>
      <c r="AL372" s="334">
        <v>1.1100000000000001</v>
      </c>
      <c r="AM372" s="335">
        <v>1.21</v>
      </c>
      <c r="AN372" s="334">
        <v>1.27</v>
      </c>
      <c r="AO372" s="334">
        <v>1.31</v>
      </c>
      <c r="AQ372" s="333">
        <v>50</v>
      </c>
      <c r="AR372" s="334">
        <v>1</v>
      </c>
      <c r="AS372" s="334">
        <v>1.1499999999999999</v>
      </c>
      <c r="AT372" s="335">
        <v>1.29</v>
      </c>
      <c r="AU372" s="334">
        <v>1.4</v>
      </c>
      <c r="AV372" s="334">
        <v>1.47</v>
      </c>
      <c r="AX372" s="333">
        <v>50</v>
      </c>
      <c r="AY372" s="334">
        <v>1</v>
      </c>
      <c r="AZ372" s="334">
        <v>1.2</v>
      </c>
      <c r="BA372" s="335">
        <v>1.38</v>
      </c>
      <c r="BB372" s="334">
        <v>1.52</v>
      </c>
      <c r="BC372" s="334">
        <v>1.63</v>
      </c>
      <c r="BE372" s="333">
        <v>50</v>
      </c>
      <c r="BF372" s="334">
        <v>1</v>
      </c>
      <c r="BG372" s="334">
        <v>1.19</v>
      </c>
      <c r="BH372" s="335">
        <v>1.35</v>
      </c>
      <c r="BI372" s="334">
        <v>1.49</v>
      </c>
      <c r="BJ372" s="334">
        <v>1.58</v>
      </c>
      <c r="BL372" s="333">
        <v>50</v>
      </c>
      <c r="BM372" s="334">
        <v>1</v>
      </c>
      <c r="BN372" s="334">
        <v>1.1299999999999999</v>
      </c>
      <c r="BO372" s="335">
        <v>1.25</v>
      </c>
      <c r="BP372" s="334">
        <v>1.33</v>
      </c>
      <c r="BQ372" s="334">
        <v>1.39</v>
      </c>
      <c r="BS372" s="333">
        <v>50</v>
      </c>
      <c r="BT372" s="334">
        <v>1</v>
      </c>
      <c r="BU372" s="334">
        <v>1.0900000000000001</v>
      </c>
      <c r="BV372" s="335">
        <v>1.1599999999999999</v>
      </c>
      <c r="BW372" s="334">
        <v>1.21</v>
      </c>
      <c r="BX372" s="334">
        <v>1.22</v>
      </c>
      <c r="BZ372" s="333">
        <v>50</v>
      </c>
      <c r="CA372" s="334">
        <v>1</v>
      </c>
      <c r="CB372" s="334">
        <v>1.05</v>
      </c>
      <c r="CC372" s="335">
        <v>1.08</v>
      </c>
      <c r="CD372" s="334">
        <v>1.0900000000000001</v>
      </c>
      <c r="CE372" s="334">
        <v>1.08</v>
      </c>
      <c r="CG372" s="333">
        <v>50</v>
      </c>
      <c r="CH372" s="334">
        <v>1</v>
      </c>
      <c r="CI372" s="334">
        <v>1.02</v>
      </c>
      <c r="CJ372" s="335">
        <v>1.03</v>
      </c>
      <c r="CK372" s="334">
        <v>1.01</v>
      </c>
      <c r="CL372" s="334">
        <v>0.98</v>
      </c>
      <c r="CN372" s="333">
        <v>50</v>
      </c>
      <c r="CO372" s="334">
        <v>1</v>
      </c>
      <c r="CP372" s="334">
        <v>1.02</v>
      </c>
      <c r="CQ372" s="335">
        <v>1.01</v>
      </c>
      <c r="CR372" s="334">
        <v>0.99</v>
      </c>
      <c r="CS372" s="334">
        <v>0.96</v>
      </c>
    </row>
    <row r="373" spans="3:97" x14ac:dyDescent="0.25">
      <c r="C373" s="333">
        <v>160</v>
      </c>
      <c r="D373" s="334">
        <v>0.82</v>
      </c>
      <c r="E373" s="334">
        <v>0.75</v>
      </c>
      <c r="F373" s="334">
        <v>0.67</v>
      </c>
      <c r="G373" s="334">
        <v>0.59</v>
      </c>
      <c r="H373" s="335">
        <v>0.52</v>
      </c>
      <c r="I373" s="334">
        <v>0.45</v>
      </c>
      <c r="J373" s="334">
        <v>0.39</v>
      </c>
      <c r="K373" s="334">
        <v>0.35</v>
      </c>
      <c r="L373" s="334">
        <v>0.32</v>
      </c>
      <c r="M373" s="334">
        <v>0.28999999999999998</v>
      </c>
      <c r="O373" s="333">
        <v>60</v>
      </c>
      <c r="P373" s="334">
        <v>1</v>
      </c>
      <c r="Q373" s="334">
        <v>1.01</v>
      </c>
      <c r="R373" s="335">
        <v>1.01</v>
      </c>
      <c r="S373" s="334">
        <v>0.99</v>
      </c>
      <c r="T373" s="334">
        <v>0.96</v>
      </c>
      <c r="V373" s="333">
        <v>60</v>
      </c>
      <c r="W373" s="334">
        <v>1</v>
      </c>
      <c r="X373" s="334">
        <v>1.03</v>
      </c>
      <c r="Y373" s="335">
        <v>1.04</v>
      </c>
      <c r="Z373" s="334">
        <v>1.03</v>
      </c>
      <c r="AA373" s="334">
        <v>1.01</v>
      </c>
      <c r="AC373" s="333">
        <v>60</v>
      </c>
      <c r="AD373" s="334">
        <v>1</v>
      </c>
      <c r="AE373" s="334">
        <v>1.06</v>
      </c>
      <c r="AF373" s="335">
        <v>1.1000000000000001</v>
      </c>
      <c r="AG373" s="334">
        <v>1.1200000000000001</v>
      </c>
      <c r="AH373" s="334">
        <v>1.1299999999999999</v>
      </c>
      <c r="AJ373" s="333">
        <v>60</v>
      </c>
      <c r="AK373" s="334">
        <v>1</v>
      </c>
      <c r="AL373" s="334">
        <v>1.0900000000000001</v>
      </c>
      <c r="AM373" s="335">
        <v>1.1599999999999999</v>
      </c>
      <c r="AN373" s="334">
        <v>1.21</v>
      </c>
      <c r="AO373" s="334">
        <v>1.24</v>
      </c>
      <c r="AQ373" s="333">
        <v>60</v>
      </c>
      <c r="AR373" s="334">
        <v>1</v>
      </c>
      <c r="AS373" s="334">
        <v>1.1299999999999999</v>
      </c>
      <c r="AT373" s="335">
        <v>1.23</v>
      </c>
      <c r="AU373" s="334">
        <v>1.31</v>
      </c>
      <c r="AV373" s="334">
        <v>1.37</v>
      </c>
      <c r="AX373" s="333">
        <v>60</v>
      </c>
      <c r="AY373" s="334">
        <v>1</v>
      </c>
      <c r="AZ373" s="334">
        <v>1.1599999999999999</v>
      </c>
      <c r="BA373" s="335">
        <v>1.3</v>
      </c>
      <c r="BB373" s="334">
        <v>1.41</v>
      </c>
      <c r="BC373" s="334">
        <v>1.48</v>
      </c>
      <c r="BE373" s="333">
        <v>60</v>
      </c>
      <c r="BF373" s="334">
        <v>1</v>
      </c>
      <c r="BG373" s="334">
        <v>1.1499999999999999</v>
      </c>
      <c r="BH373" s="335">
        <v>1.28</v>
      </c>
      <c r="BI373" s="334">
        <v>1.38</v>
      </c>
      <c r="BJ373" s="334">
        <v>1.46</v>
      </c>
      <c r="BL373" s="333">
        <v>60</v>
      </c>
      <c r="BM373" s="334">
        <v>1</v>
      </c>
      <c r="BN373" s="334">
        <v>1.1100000000000001</v>
      </c>
      <c r="BO373" s="335">
        <v>1.2</v>
      </c>
      <c r="BP373" s="334">
        <v>1.26</v>
      </c>
      <c r="BQ373" s="334">
        <v>1.31</v>
      </c>
      <c r="BS373" s="333">
        <v>60</v>
      </c>
      <c r="BT373" s="334">
        <v>1</v>
      </c>
      <c r="BU373" s="334">
        <v>1.08</v>
      </c>
      <c r="BV373" s="335">
        <v>1.1299999999999999</v>
      </c>
      <c r="BW373" s="334">
        <v>1.1599999999999999</v>
      </c>
      <c r="BX373" s="334">
        <v>1.17</v>
      </c>
      <c r="BZ373" s="333">
        <v>60</v>
      </c>
      <c r="CA373" s="334">
        <v>1</v>
      </c>
      <c r="CB373" s="334">
        <v>1.04</v>
      </c>
      <c r="CC373" s="335">
        <v>1.06</v>
      </c>
      <c r="CD373" s="334">
        <v>1.07</v>
      </c>
      <c r="CE373" s="334">
        <v>1.06</v>
      </c>
      <c r="CG373" s="333">
        <v>60</v>
      </c>
      <c r="CH373" s="334">
        <v>1</v>
      </c>
      <c r="CI373" s="334">
        <v>1.02</v>
      </c>
      <c r="CJ373" s="335">
        <v>1.02</v>
      </c>
      <c r="CK373" s="334">
        <v>1</v>
      </c>
      <c r="CL373" s="334">
        <v>0.97</v>
      </c>
      <c r="CN373" s="333">
        <v>60</v>
      </c>
      <c r="CO373" s="334">
        <v>1</v>
      </c>
      <c r="CP373" s="334">
        <v>1.01</v>
      </c>
      <c r="CQ373" s="335">
        <v>1.01</v>
      </c>
      <c r="CR373" s="334">
        <v>0.98</v>
      </c>
      <c r="CS373" s="334">
        <v>0.95</v>
      </c>
    </row>
    <row r="374" spans="3:97" x14ac:dyDescent="0.25">
      <c r="C374" s="333">
        <v>170</v>
      </c>
      <c r="D374" s="334">
        <v>0.82</v>
      </c>
      <c r="E374" s="334">
        <v>0.75</v>
      </c>
      <c r="F374" s="334">
        <v>0.67</v>
      </c>
      <c r="G374" s="334">
        <v>0.57999999999999996</v>
      </c>
      <c r="H374" s="335">
        <v>0.5</v>
      </c>
      <c r="I374" s="334">
        <v>0.43</v>
      </c>
      <c r="J374" s="334">
        <v>0.37</v>
      </c>
      <c r="K374" s="334">
        <v>0.32</v>
      </c>
      <c r="L374" s="334">
        <v>0.3</v>
      </c>
      <c r="M374" s="334">
        <v>0.28000000000000003</v>
      </c>
      <c r="O374" s="333">
        <v>70</v>
      </c>
      <c r="P374" s="334">
        <v>1</v>
      </c>
      <c r="Q374" s="334">
        <v>1.01</v>
      </c>
      <c r="R374" s="335">
        <v>1</v>
      </c>
      <c r="S374" s="334">
        <v>0.98</v>
      </c>
      <c r="T374" s="334">
        <v>0.94</v>
      </c>
      <c r="V374" s="333">
        <v>70</v>
      </c>
      <c r="W374" s="334">
        <v>1</v>
      </c>
      <c r="X374" s="334">
        <v>1.02</v>
      </c>
      <c r="Y374" s="335">
        <v>1.02</v>
      </c>
      <c r="Z374" s="334">
        <v>1.01</v>
      </c>
      <c r="AA374" s="334">
        <v>0.99</v>
      </c>
      <c r="AC374" s="333">
        <v>70</v>
      </c>
      <c r="AD374" s="334">
        <v>1</v>
      </c>
      <c r="AE374" s="334">
        <v>1.04</v>
      </c>
      <c r="AF374" s="335">
        <v>1.07</v>
      </c>
      <c r="AG374" s="334">
        <v>1.0900000000000001</v>
      </c>
      <c r="AH374" s="334">
        <v>1.0900000000000001</v>
      </c>
      <c r="AJ374" s="333">
        <v>70</v>
      </c>
      <c r="AK374" s="334">
        <v>1</v>
      </c>
      <c r="AL374" s="334">
        <v>1.06</v>
      </c>
      <c r="AM374" s="335">
        <v>1.1200000000000001</v>
      </c>
      <c r="AN374" s="334">
        <v>1.1499999999999999</v>
      </c>
      <c r="AO374" s="334">
        <v>1.17</v>
      </c>
      <c r="AQ374" s="333">
        <v>70</v>
      </c>
      <c r="AR374" s="334">
        <v>1</v>
      </c>
      <c r="AS374" s="334">
        <v>1.0900000000000001</v>
      </c>
      <c r="AT374" s="335">
        <v>1.17</v>
      </c>
      <c r="AU374" s="334">
        <v>1.22</v>
      </c>
      <c r="AV374" s="334">
        <v>1.26</v>
      </c>
      <c r="AX374" s="333">
        <v>70</v>
      </c>
      <c r="AY374" s="334">
        <v>1</v>
      </c>
      <c r="AZ374" s="334">
        <v>1.1100000000000001</v>
      </c>
      <c r="BA374" s="335">
        <v>1.22</v>
      </c>
      <c r="BB374" s="334">
        <v>1.3</v>
      </c>
      <c r="BC374" s="334">
        <v>1.34</v>
      </c>
      <c r="BE374" s="333">
        <v>70</v>
      </c>
      <c r="BF374" s="334">
        <v>1</v>
      </c>
      <c r="BG374" s="334">
        <v>1.1100000000000001</v>
      </c>
      <c r="BH374" s="335">
        <v>1.19</v>
      </c>
      <c r="BI374" s="334">
        <v>1.26</v>
      </c>
      <c r="BJ374" s="334">
        <v>1.31</v>
      </c>
      <c r="BL374" s="333">
        <v>70</v>
      </c>
      <c r="BM374" s="334">
        <v>1</v>
      </c>
      <c r="BN374" s="334">
        <v>1.08</v>
      </c>
      <c r="BO374" s="335">
        <v>1.1399999999999999</v>
      </c>
      <c r="BP374" s="334">
        <v>1.19</v>
      </c>
      <c r="BQ374" s="334">
        <v>1.22</v>
      </c>
      <c r="BS374" s="333">
        <v>70</v>
      </c>
      <c r="BT374" s="334">
        <v>1</v>
      </c>
      <c r="BU374" s="334">
        <v>1.05</v>
      </c>
      <c r="BV374" s="335">
        <v>1.0900000000000001</v>
      </c>
      <c r="BW374" s="334">
        <v>1.1100000000000001</v>
      </c>
      <c r="BX374" s="334">
        <v>1.1200000000000001</v>
      </c>
      <c r="BZ374" s="333">
        <v>70</v>
      </c>
      <c r="CA374" s="334">
        <v>1</v>
      </c>
      <c r="CB374" s="334">
        <v>1.03</v>
      </c>
      <c r="CC374" s="335">
        <v>1.05</v>
      </c>
      <c r="CD374" s="334">
        <v>1.05</v>
      </c>
      <c r="CE374" s="334">
        <v>1.03</v>
      </c>
      <c r="CG374" s="333">
        <v>70</v>
      </c>
      <c r="CH374" s="334">
        <v>1</v>
      </c>
      <c r="CI374" s="334">
        <v>1.01</v>
      </c>
      <c r="CJ374" s="335">
        <v>1</v>
      </c>
      <c r="CK374" s="334">
        <v>0.99</v>
      </c>
      <c r="CL374" s="334">
        <v>0.96</v>
      </c>
      <c r="CN374" s="333">
        <v>70</v>
      </c>
      <c r="CO374" s="334">
        <v>1</v>
      </c>
      <c r="CP374" s="334">
        <v>1.01</v>
      </c>
      <c r="CQ374" s="335">
        <v>1</v>
      </c>
      <c r="CR374" s="334">
        <v>0.98</v>
      </c>
      <c r="CS374" s="334">
        <v>0.94</v>
      </c>
    </row>
    <row r="375" spans="3:97" x14ac:dyDescent="0.25">
      <c r="C375" s="333">
        <v>180</v>
      </c>
      <c r="D375" s="334">
        <v>0.82</v>
      </c>
      <c r="E375" s="334">
        <v>0.75</v>
      </c>
      <c r="F375" s="334">
        <v>0.66</v>
      </c>
      <c r="G375" s="334">
        <v>0.57999999999999996</v>
      </c>
      <c r="H375" s="335">
        <v>0.5</v>
      </c>
      <c r="I375" s="334">
        <v>0.43</v>
      </c>
      <c r="J375" s="334">
        <v>0.36</v>
      </c>
      <c r="K375" s="334">
        <v>0.32</v>
      </c>
      <c r="L375" s="334">
        <v>0.28999999999999998</v>
      </c>
      <c r="M375" s="334">
        <v>0.27</v>
      </c>
      <c r="O375" s="333">
        <v>80</v>
      </c>
      <c r="P375" s="334">
        <v>1</v>
      </c>
      <c r="Q375" s="334">
        <v>1</v>
      </c>
      <c r="R375" s="335">
        <v>0.99</v>
      </c>
      <c r="S375" s="334">
        <v>0.97</v>
      </c>
      <c r="T375" s="334">
        <v>0.93</v>
      </c>
      <c r="V375" s="333">
        <v>80</v>
      </c>
      <c r="W375" s="334">
        <v>1</v>
      </c>
      <c r="X375" s="334">
        <v>1.01</v>
      </c>
      <c r="Y375" s="335">
        <v>1</v>
      </c>
      <c r="Z375" s="334">
        <v>0.99</v>
      </c>
      <c r="AA375" s="334">
        <v>0.96</v>
      </c>
      <c r="AC375" s="333">
        <v>80</v>
      </c>
      <c r="AD375" s="334">
        <v>1</v>
      </c>
      <c r="AE375" s="334">
        <v>1.03</v>
      </c>
      <c r="AF375" s="335">
        <v>1.04</v>
      </c>
      <c r="AG375" s="334">
        <v>1.04</v>
      </c>
      <c r="AH375" s="334">
        <v>1.04</v>
      </c>
      <c r="AJ375" s="333">
        <v>80</v>
      </c>
      <c r="AK375" s="334">
        <v>1</v>
      </c>
      <c r="AL375" s="334">
        <v>1.04</v>
      </c>
      <c r="AM375" s="335">
        <v>1.06</v>
      </c>
      <c r="AN375" s="334">
        <v>1.08</v>
      </c>
      <c r="AO375" s="334">
        <v>1.0900000000000001</v>
      </c>
      <c r="AQ375" s="333">
        <v>80</v>
      </c>
      <c r="AR375" s="334">
        <v>1</v>
      </c>
      <c r="AS375" s="334">
        <v>1.05</v>
      </c>
      <c r="AT375" s="335">
        <v>1.0900000000000001</v>
      </c>
      <c r="AU375" s="334">
        <v>1.1200000000000001</v>
      </c>
      <c r="AV375" s="334">
        <v>1.1399999999999999</v>
      </c>
      <c r="AX375" s="333">
        <v>80</v>
      </c>
      <c r="AY375" s="334">
        <v>1</v>
      </c>
      <c r="AZ375" s="334">
        <v>1.06</v>
      </c>
      <c r="BA375" s="335">
        <v>1.1299999999999999</v>
      </c>
      <c r="BB375" s="334">
        <v>1.17</v>
      </c>
      <c r="BC375" s="334">
        <v>1.2</v>
      </c>
      <c r="BE375" s="333">
        <v>80</v>
      </c>
      <c r="BF375" s="334">
        <v>1</v>
      </c>
      <c r="BG375" s="334">
        <v>1.07</v>
      </c>
      <c r="BH375" s="335">
        <v>1.1299999999999999</v>
      </c>
      <c r="BI375" s="334">
        <v>1.1499999999999999</v>
      </c>
      <c r="BJ375" s="334">
        <v>1.18</v>
      </c>
      <c r="BL375" s="333">
        <v>80</v>
      </c>
      <c r="BM375" s="334">
        <v>1</v>
      </c>
      <c r="BN375" s="334">
        <v>1.05</v>
      </c>
      <c r="BO375" s="335">
        <v>1.0900000000000001</v>
      </c>
      <c r="BP375" s="334">
        <v>1.1100000000000001</v>
      </c>
      <c r="BQ375" s="334">
        <v>1.1200000000000001</v>
      </c>
      <c r="BS375" s="333">
        <v>80</v>
      </c>
      <c r="BT375" s="334">
        <v>1</v>
      </c>
      <c r="BU375" s="334">
        <v>1.03</v>
      </c>
      <c r="BV375" s="335">
        <v>1.05</v>
      </c>
      <c r="BW375" s="334">
        <v>1.05</v>
      </c>
      <c r="BX375" s="334">
        <v>1.05</v>
      </c>
      <c r="BZ375" s="333">
        <v>80</v>
      </c>
      <c r="CA375" s="334">
        <v>1</v>
      </c>
      <c r="CB375" s="334">
        <v>1.02</v>
      </c>
      <c r="CC375" s="335">
        <v>1.02</v>
      </c>
      <c r="CD375" s="334">
        <v>1.02</v>
      </c>
      <c r="CE375" s="334">
        <v>0.99</v>
      </c>
      <c r="CG375" s="333">
        <v>80</v>
      </c>
      <c r="CH375" s="334">
        <v>1</v>
      </c>
      <c r="CI375" s="334">
        <v>1</v>
      </c>
      <c r="CJ375" s="335">
        <v>1</v>
      </c>
      <c r="CK375" s="334">
        <v>0.97</v>
      </c>
      <c r="CL375" s="334">
        <v>0.94</v>
      </c>
      <c r="CN375" s="333">
        <v>80</v>
      </c>
      <c r="CO375" s="334">
        <v>1</v>
      </c>
      <c r="CP375" s="334">
        <v>1.01</v>
      </c>
      <c r="CQ375" s="335">
        <v>1</v>
      </c>
      <c r="CR375" s="334">
        <v>0.97</v>
      </c>
      <c r="CS375" s="334">
        <v>0.93</v>
      </c>
    </row>
    <row r="376" spans="3:97" x14ac:dyDescent="0.25">
      <c r="C376" s="333">
        <v>190</v>
      </c>
      <c r="D376" s="334">
        <v>0.82</v>
      </c>
      <c r="E376" s="334">
        <v>0.75</v>
      </c>
      <c r="F376" s="334">
        <v>0.67</v>
      </c>
      <c r="G376" s="334">
        <v>0.57999999999999996</v>
      </c>
      <c r="H376" s="335">
        <v>0.5</v>
      </c>
      <c r="I376" s="334">
        <v>0.43</v>
      </c>
      <c r="J376" s="334">
        <v>0.37</v>
      </c>
      <c r="K376" s="334">
        <v>0.33</v>
      </c>
      <c r="L376" s="334">
        <v>0.3</v>
      </c>
      <c r="M376" s="334">
        <v>0.28000000000000003</v>
      </c>
      <c r="O376" s="333">
        <v>90</v>
      </c>
      <c r="P376" s="334">
        <v>1</v>
      </c>
      <c r="Q376" s="334">
        <v>1</v>
      </c>
      <c r="R376" s="335">
        <v>0.98</v>
      </c>
      <c r="S376" s="334">
        <v>0.95</v>
      </c>
      <c r="T376" s="334">
        <v>0.91</v>
      </c>
      <c r="V376" s="333">
        <v>90</v>
      </c>
      <c r="W376" s="334">
        <v>1</v>
      </c>
      <c r="X376" s="334">
        <v>1</v>
      </c>
      <c r="Y376" s="335">
        <v>0.98</v>
      </c>
      <c r="Z376" s="334">
        <v>0.96</v>
      </c>
      <c r="AA376" s="334">
        <v>0.92</v>
      </c>
      <c r="AC376" s="333">
        <v>90</v>
      </c>
      <c r="AD376" s="334">
        <v>1</v>
      </c>
      <c r="AE376" s="334">
        <v>1.01</v>
      </c>
      <c r="AF376" s="335">
        <v>1.01</v>
      </c>
      <c r="AG376" s="334">
        <v>1</v>
      </c>
      <c r="AH376" s="334">
        <v>0.98</v>
      </c>
      <c r="AJ376" s="333">
        <v>90</v>
      </c>
      <c r="AK376" s="334">
        <v>1</v>
      </c>
      <c r="AL376" s="334">
        <v>1.01</v>
      </c>
      <c r="AM376" s="335">
        <v>1.01</v>
      </c>
      <c r="AN376" s="334">
        <v>1.01</v>
      </c>
      <c r="AO376" s="334">
        <v>1.01</v>
      </c>
      <c r="AQ376" s="333">
        <v>90</v>
      </c>
      <c r="AR376" s="334">
        <v>1</v>
      </c>
      <c r="AS376" s="334">
        <v>1</v>
      </c>
      <c r="AT376" s="335">
        <v>1.01</v>
      </c>
      <c r="AU376" s="334">
        <v>1.03</v>
      </c>
      <c r="AV376" s="334">
        <v>1.01</v>
      </c>
      <c r="AX376" s="333">
        <v>90</v>
      </c>
      <c r="AY376" s="334">
        <v>1</v>
      </c>
      <c r="AZ376" s="334">
        <v>1.02</v>
      </c>
      <c r="BA376" s="335">
        <v>1.03</v>
      </c>
      <c r="BB376" s="334">
        <v>1.05</v>
      </c>
      <c r="BC376" s="334">
        <v>1.05</v>
      </c>
      <c r="BE376" s="333">
        <v>90</v>
      </c>
      <c r="BF376" s="334">
        <v>1</v>
      </c>
      <c r="BG376" s="334">
        <v>1.01</v>
      </c>
      <c r="BH376" s="335">
        <v>1.03</v>
      </c>
      <c r="BI376" s="334">
        <v>1.04</v>
      </c>
      <c r="BJ376" s="334">
        <v>1.04</v>
      </c>
      <c r="BL376" s="333">
        <v>90</v>
      </c>
      <c r="BM376" s="334">
        <v>1</v>
      </c>
      <c r="BN376" s="334">
        <v>1.02</v>
      </c>
      <c r="BO376" s="335">
        <v>1.03</v>
      </c>
      <c r="BP376" s="334">
        <v>1.03</v>
      </c>
      <c r="BQ376" s="334">
        <v>1.03</v>
      </c>
      <c r="BS376" s="333">
        <v>90</v>
      </c>
      <c r="BT376" s="334">
        <v>1</v>
      </c>
      <c r="BU376" s="334">
        <v>1.01</v>
      </c>
      <c r="BV376" s="335">
        <v>1.01</v>
      </c>
      <c r="BW376" s="334">
        <v>1</v>
      </c>
      <c r="BX376" s="334">
        <v>0.99</v>
      </c>
      <c r="BZ376" s="333">
        <v>90</v>
      </c>
      <c r="CA376" s="334">
        <v>1</v>
      </c>
      <c r="CB376" s="334">
        <v>1.01</v>
      </c>
      <c r="CC376" s="335">
        <v>1</v>
      </c>
      <c r="CD376" s="334">
        <v>0.98</v>
      </c>
      <c r="CE376" s="334">
        <v>0.95</v>
      </c>
      <c r="CG376" s="333">
        <v>90</v>
      </c>
      <c r="CH376" s="334">
        <v>1</v>
      </c>
      <c r="CI376" s="334">
        <v>1</v>
      </c>
      <c r="CJ376" s="335">
        <v>0.98</v>
      </c>
      <c r="CK376" s="334">
        <v>0.96</v>
      </c>
      <c r="CL376" s="334">
        <v>0.92</v>
      </c>
      <c r="CN376" s="333">
        <v>90</v>
      </c>
      <c r="CO376" s="334">
        <v>1</v>
      </c>
      <c r="CP376" s="334">
        <v>1</v>
      </c>
      <c r="CQ376" s="335">
        <v>0.99</v>
      </c>
      <c r="CR376" s="334">
        <v>0.96</v>
      </c>
      <c r="CS376" s="334">
        <v>0.92</v>
      </c>
    </row>
    <row r="377" spans="3:97" x14ac:dyDescent="0.25">
      <c r="C377" s="333">
        <v>200</v>
      </c>
      <c r="D377" s="334">
        <v>0.82</v>
      </c>
      <c r="E377" s="334">
        <v>0.75</v>
      </c>
      <c r="F377" s="334">
        <v>0.67</v>
      </c>
      <c r="G377" s="334">
        <v>0.59</v>
      </c>
      <c r="H377" s="335">
        <v>0.52</v>
      </c>
      <c r="I377" s="334">
        <v>0.45</v>
      </c>
      <c r="J377" s="334">
        <v>0.39</v>
      </c>
      <c r="K377" s="334">
        <v>0.35</v>
      </c>
      <c r="L377" s="334">
        <v>0.32</v>
      </c>
      <c r="M377" s="334">
        <v>0.28999999999999998</v>
      </c>
      <c r="P377" s="288"/>
      <c r="Q377" s="288"/>
      <c r="R377" s="288"/>
      <c r="S377" s="288"/>
      <c r="T377" s="288"/>
      <c r="W377" s="288"/>
      <c r="X377" s="288"/>
      <c r="Y377" s="288"/>
      <c r="Z377" s="288"/>
      <c r="AA377" s="288"/>
      <c r="AD377" s="288"/>
      <c r="AE377" s="288"/>
      <c r="AF377" s="288"/>
      <c r="AG377" s="288"/>
      <c r="AH377" s="288"/>
      <c r="AK377" s="288"/>
      <c r="AL377" s="288"/>
      <c r="AM377" s="288"/>
      <c r="AN377" s="288"/>
      <c r="AO377" s="288"/>
      <c r="AR377" s="288"/>
      <c r="AS377" s="288"/>
      <c r="AT377" s="288"/>
      <c r="AU377" s="288"/>
      <c r="AV377" s="288"/>
      <c r="AY377" s="288"/>
      <c r="AZ377" s="288"/>
      <c r="BA377" s="288"/>
      <c r="BB377" s="288"/>
      <c r="BC377" s="288"/>
      <c r="BF377" s="288"/>
      <c r="BG377" s="288"/>
      <c r="BH377" s="288"/>
      <c r="BI377" s="288"/>
      <c r="BJ377" s="288"/>
      <c r="BM377" s="288"/>
      <c r="BN377" s="288"/>
      <c r="BO377" s="288"/>
      <c r="BP377" s="288"/>
      <c r="BQ377" s="288"/>
      <c r="BT377" s="288"/>
      <c r="BU377" s="288"/>
      <c r="BV377" s="288"/>
      <c r="BW377" s="288"/>
      <c r="BX377" s="288"/>
      <c r="CA377" s="288"/>
      <c r="CB377" s="288"/>
      <c r="CC377" s="288"/>
      <c r="CD377" s="288"/>
      <c r="CE377" s="288"/>
      <c r="CH377" s="288"/>
      <c r="CI377" s="288"/>
      <c r="CJ377" s="288"/>
      <c r="CK377" s="288"/>
      <c r="CL377" s="288"/>
      <c r="CO377" s="288"/>
      <c r="CP377" s="288"/>
      <c r="CQ377" s="288"/>
      <c r="CR377" s="288"/>
      <c r="CS377" s="288"/>
    </row>
    <row r="378" spans="3:97" x14ac:dyDescent="0.25">
      <c r="C378" s="333">
        <v>210</v>
      </c>
      <c r="D378" s="334">
        <v>0.82</v>
      </c>
      <c r="E378" s="334">
        <v>0.76</v>
      </c>
      <c r="F378" s="334">
        <v>0.68</v>
      </c>
      <c r="G378" s="334">
        <v>0.61</v>
      </c>
      <c r="H378" s="335">
        <v>0.54</v>
      </c>
      <c r="I378" s="334">
        <v>0.47</v>
      </c>
      <c r="J378" s="334">
        <v>0.42</v>
      </c>
      <c r="K378" s="334">
        <v>0.38</v>
      </c>
      <c r="L378" s="334">
        <v>0.35</v>
      </c>
      <c r="M378" s="334">
        <v>0.32</v>
      </c>
      <c r="P378" s="288"/>
      <c r="Q378" s="288"/>
      <c r="R378" s="288"/>
      <c r="S378" s="288"/>
      <c r="T378" s="288"/>
      <c r="W378" s="288"/>
      <c r="X378" s="288"/>
      <c r="Y378" s="288"/>
      <c r="Z378" s="288"/>
      <c r="AA378" s="288"/>
      <c r="AD378" s="288"/>
      <c r="AE378" s="288"/>
      <c r="AF378" s="288"/>
      <c r="AG378" s="288"/>
      <c r="AH378" s="288"/>
      <c r="AK378" s="288"/>
      <c r="AL378" s="288"/>
      <c r="AM378" s="288"/>
      <c r="AN378" s="288"/>
      <c r="AO378" s="288"/>
      <c r="AR378" s="288"/>
      <c r="AS378" s="288"/>
      <c r="AT378" s="288"/>
      <c r="AU378" s="288"/>
      <c r="AV378" s="288"/>
      <c r="AY378" s="288"/>
      <c r="AZ378" s="288"/>
      <c r="BA378" s="288"/>
      <c r="BB378" s="288"/>
      <c r="BC378" s="288"/>
      <c r="BF378" s="288"/>
      <c r="BG378" s="288"/>
      <c r="BH378" s="288"/>
      <c r="BI378" s="288"/>
      <c r="BJ378" s="288"/>
      <c r="BM378" s="288"/>
      <c r="BN378" s="288"/>
      <c r="BO378" s="288"/>
      <c r="BP378" s="288"/>
      <c r="BQ378" s="288"/>
      <c r="BT378" s="288"/>
      <c r="BU378" s="288"/>
      <c r="BV378" s="288"/>
      <c r="BW378" s="288"/>
      <c r="BX378" s="288"/>
      <c r="CA378" s="288"/>
      <c r="CB378" s="288"/>
      <c r="CC378" s="288"/>
      <c r="CD378" s="288"/>
      <c r="CE378" s="288"/>
      <c r="CH378" s="288"/>
      <c r="CI378" s="288"/>
      <c r="CJ378" s="288"/>
      <c r="CK378" s="288"/>
      <c r="CL378" s="288"/>
      <c r="CO378" s="288"/>
      <c r="CP378" s="288"/>
      <c r="CQ378" s="288"/>
      <c r="CR378" s="288"/>
      <c r="CS378" s="288"/>
    </row>
    <row r="379" spans="3:97" x14ac:dyDescent="0.25">
      <c r="C379" s="333">
        <v>220</v>
      </c>
      <c r="D379" s="334">
        <v>0.82</v>
      </c>
      <c r="E379" s="334">
        <v>0.76</v>
      </c>
      <c r="F379" s="334">
        <v>0.7</v>
      </c>
      <c r="G379" s="334">
        <v>0.63</v>
      </c>
      <c r="H379" s="335">
        <v>0.56000000000000005</v>
      </c>
      <c r="I379" s="334">
        <v>0.51</v>
      </c>
      <c r="J379" s="334">
        <v>0.46</v>
      </c>
      <c r="K379" s="334">
        <v>0.42</v>
      </c>
      <c r="L379" s="334">
        <v>0.38</v>
      </c>
      <c r="M379" s="334">
        <v>0.35</v>
      </c>
      <c r="P379" s="288"/>
      <c r="Q379" s="288"/>
      <c r="R379" s="288"/>
      <c r="S379" s="288"/>
      <c r="T379" s="288"/>
      <c r="W379" s="288"/>
      <c r="X379" s="288"/>
      <c r="Y379" s="288"/>
      <c r="Z379" s="288"/>
      <c r="AA379" s="288"/>
      <c r="AD379" s="288"/>
      <c r="AE379" s="288"/>
      <c r="AF379" s="288"/>
      <c r="AG379" s="288"/>
      <c r="AH379" s="288"/>
      <c r="AK379" s="288"/>
      <c r="AL379" s="288"/>
      <c r="AM379" s="288"/>
      <c r="AN379" s="288"/>
      <c r="AO379" s="288"/>
      <c r="AR379" s="288"/>
      <c r="AS379" s="288"/>
      <c r="AT379" s="288"/>
      <c r="AU379" s="288"/>
      <c r="AV379" s="288"/>
      <c r="AY379" s="288"/>
      <c r="AZ379" s="288"/>
      <c r="BA379" s="288"/>
      <c r="BB379" s="288"/>
      <c r="BC379" s="288"/>
      <c r="BF379" s="288"/>
      <c r="BG379" s="288"/>
      <c r="BH379" s="288"/>
      <c r="BI379" s="288"/>
      <c r="BJ379" s="288"/>
      <c r="BM379" s="288"/>
      <c r="BN379" s="288"/>
      <c r="BO379" s="288"/>
      <c r="BP379" s="288"/>
      <c r="BQ379" s="288"/>
      <c r="BT379" s="288"/>
      <c r="BU379" s="288"/>
      <c r="BV379" s="288"/>
      <c r="BW379" s="288"/>
      <c r="BX379" s="288"/>
      <c r="CA379" s="288"/>
      <c r="CB379" s="288"/>
      <c r="CC379" s="288"/>
      <c r="CD379" s="288"/>
      <c r="CE379" s="288"/>
      <c r="CH379" s="288"/>
      <c r="CI379" s="288"/>
      <c r="CJ379" s="288"/>
      <c r="CK379" s="288"/>
      <c r="CL379" s="288"/>
      <c r="CO379" s="288"/>
      <c r="CP379" s="288"/>
      <c r="CQ379" s="288"/>
      <c r="CR379" s="288"/>
      <c r="CS379" s="288"/>
    </row>
    <row r="380" spans="3:97" x14ac:dyDescent="0.25">
      <c r="C380" s="333">
        <v>230</v>
      </c>
      <c r="D380" s="334">
        <v>0.82</v>
      </c>
      <c r="E380" s="334">
        <v>0.77</v>
      </c>
      <c r="F380" s="334">
        <v>0.72</v>
      </c>
      <c r="G380" s="334">
        <v>0.66</v>
      </c>
      <c r="H380" s="335">
        <v>0.6</v>
      </c>
      <c r="I380" s="334">
        <v>0.55000000000000004</v>
      </c>
      <c r="J380" s="334">
        <v>0.51</v>
      </c>
      <c r="K380" s="334">
        <v>0.47</v>
      </c>
      <c r="L380" s="334">
        <v>0.42</v>
      </c>
      <c r="M380" s="334">
        <v>0.38</v>
      </c>
      <c r="P380" s="288"/>
      <c r="Q380" s="288"/>
      <c r="R380" s="288"/>
      <c r="S380" s="288"/>
      <c r="T380" s="288"/>
      <c r="W380" s="288"/>
      <c r="X380" s="288"/>
      <c r="Y380" s="288"/>
      <c r="Z380" s="288"/>
      <c r="AA380" s="288"/>
      <c r="AD380" s="288"/>
      <c r="AE380" s="288"/>
      <c r="AF380" s="288"/>
      <c r="AG380" s="288"/>
      <c r="AH380" s="288"/>
      <c r="AK380" s="288"/>
      <c r="AL380" s="288"/>
      <c r="AM380" s="288"/>
      <c r="AN380" s="288"/>
      <c r="AO380" s="288"/>
      <c r="AR380" s="288"/>
      <c r="AS380" s="288"/>
      <c r="AT380" s="288"/>
      <c r="AU380" s="288"/>
      <c r="AV380" s="288"/>
      <c r="AY380" s="288"/>
      <c r="AZ380" s="288"/>
      <c r="BA380" s="288"/>
      <c r="BB380" s="288"/>
      <c r="BC380" s="288"/>
      <c r="BF380" s="288"/>
      <c r="BG380" s="288"/>
      <c r="BH380" s="288"/>
      <c r="BI380" s="288"/>
      <c r="BJ380" s="288"/>
      <c r="BM380" s="288"/>
      <c r="BN380" s="288"/>
      <c r="BO380" s="288"/>
      <c r="BP380" s="288"/>
      <c r="BQ380" s="288"/>
      <c r="BT380" s="288"/>
      <c r="BU380" s="288"/>
      <c r="BV380" s="288"/>
      <c r="BW380" s="288"/>
      <c r="BX380" s="288"/>
      <c r="CA380" s="288"/>
      <c r="CB380" s="288"/>
      <c r="CC380" s="288"/>
      <c r="CD380" s="288"/>
      <c r="CE380" s="288"/>
      <c r="CH380" s="288"/>
      <c r="CI380" s="288"/>
      <c r="CJ380" s="288"/>
      <c r="CK380" s="288"/>
      <c r="CL380" s="288"/>
      <c r="CO380" s="288"/>
      <c r="CP380" s="288"/>
      <c r="CQ380" s="288"/>
      <c r="CR380" s="288"/>
      <c r="CS380" s="288"/>
    </row>
    <row r="381" spans="3:97" x14ac:dyDescent="0.25">
      <c r="C381" s="333">
        <v>240</v>
      </c>
      <c r="D381" s="334">
        <v>0.82</v>
      </c>
      <c r="E381" s="334">
        <v>0.78</v>
      </c>
      <c r="F381" s="334">
        <v>0.74</v>
      </c>
      <c r="G381" s="334">
        <v>0.69</v>
      </c>
      <c r="H381" s="335">
        <v>0.64</v>
      </c>
      <c r="I381" s="334">
        <v>0.6</v>
      </c>
      <c r="J381" s="334">
        <v>0.56000000000000005</v>
      </c>
      <c r="K381" s="334">
        <v>0.52</v>
      </c>
      <c r="L381" s="334">
        <v>0.47</v>
      </c>
      <c r="M381" s="334">
        <v>0.42</v>
      </c>
      <c r="P381" s="288"/>
      <c r="Q381" s="288"/>
      <c r="R381" s="288"/>
      <c r="S381" s="288"/>
      <c r="T381" s="288"/>
      <c r="W381" s="288"/>
      <c r="X381" s="288"/>
      <c r="Y381" s="288"/>
      <c r="Z381" s="288"/>
      <c r="AA381" s="288"/>
      <c r="AD381" s="288"/>
      <c r="AE381" s="288"/>
      <c r="AF381" s="288"/>
      <c r="AG381" s="288"/>
      <c r="AH381" s="288"/>
      <c r="AK381" s="288"/>
      <c r="AL381" s="288"/>
      <c r="AM381" s="288"/>
      <c r="AN381" s="288"/>
      <c r="AO381" s="288"/>
      <c r="AR381" s="288"/>
      <c r="AS381" s="288"/>
      <c r="AT381" s="288"/>
      <c r="AU381" s="288"/>
      <c r="AV381" s="288"/>
      <c r="AY381" s="288"/>
      <c r="AZ381" s="288"/>
      <c r="BA381" s="288"/>
      <c r="BB381" s="288"/>
      <c r="BC381" s="288"/>
      <c r="BF381" s="288"/>
      <c r="BG381" s="288"/>
      <c r="BH381" s="288"/>
      <c r="BI381" s="288"/>
      <c r="BJ381" s="288"/>
      <c r="BM381" s="288"/>
      <c r="BN381" s="288"/>
      <c r="BO381" s="288"/>
      <c r="BP381" s="288"/>
      <c r="BQ381" s="288"/>
      <c r="BT381" s="288"/>
      <c r="BU381" s="288"/>
      <c r="BV381" s="288"/>
      <c r="BW381" s="288"/>
      <c r="BX381" s="288"/>
      <c r="CA381" s="288"/>
      <c r="CB381" s="288"/>
      <c r="CC381" s="288"/>
      <c r="CD381" s="288"/>
      <c r="CE381" s="288"/>
      <c r="CH381" s="288"/>
      <c r="CI381" s="288"/>
      <c r="CJ381" s="288"/>
      <c r="CK381" s="288"/>
      <c r="CL381" s="288"/>
      <c r="CO381" s="288"/>
      <c r="CP381" s="288"/>
      <c r="CQ381" s="288"/>
      <c r="CR381" s="288"/>
      <c r="CS381" s="288"/>
    </row>
    <row r="382" spans="3:97" x14ac:dyDescent="0.25">
      <c r="C382" s="333">
        <v>250</v>
      </c>
      <c r="D382" s="334">
        <v>0.82</v>
      </c>
      <c r="E382" s="334">
        <v>0.79</v>
      </c>
      <c r="F382" s="334">
        <v>0.76</v>
      </c>
      <c r="G382" s="334">
        <v>0.73</v>
      </c>
      <c r="H382" s="335">
        <v>0.68</v>
      </c>
      <c r="I382" s="334">
        <v>0.65</v>
      </c>
      <c r="J382" s="334">
        <v>0.61</v>
      </c>
      <c r="K382" s="334">
        <v>0.56000000000000005</v>
      </c>
      <c r="L382" s="334">
        <v>0.52</v>
      </c>
      <c r="M382" s="334">
        <v>0.46</v>
      </c>
      <c r="P382" s="288"/>
      <c r="Q382" s="288"/>
      <c r="R382" s="288"/>
      <c r="S382" s="288"/>
      <c r="T382" s="288"/>
      <c r="W382" s="288"/>
      <c r="X382" s="288"/>
      <c r="Y382" s="288"/>
      <c r="Z382" s="288"/>
      <c r="AA382" s="288"/>
      <c r="AD382" s="288"/>
      <c r="AE382" s="288"/>
      <c r="AF382" s="288"/>
      <c r="AG382" s="288"/>
      <c r="AH382" s="288"/>
      <c r="AK382" s="288"/>
      <c r="AL382" s="288"/>
      <c r="AM382" s="288"/>
      <c r="AN382" s="288"/>
      <c r="AO382" s="288"/>
      <c r="AR382" s="288"/>
      <c r="AS382" s="288"/>
      <c r="AT382" s="288"/>
      <c r="AU382" s="288"/>
      <c r="AV382" s="288"/>
      <c r="AY382" s="288"/>
      <c r="AZ382" s="288"/>
      <c r="BA382" s="288"/>
      <c r="BB382" s="288"/>
      <c r="BC382" s="288"/>
      <c r="BF382" s="288"/>
      <c r="BG382" s="288"/>
      <c r="BH382" s="288"/>
      <c r="BI382" s="288"/>
      <c r="BJ382" s="288"/>
      <c r="BM382" s="288"/>
      <c r="BN382" s="288"/>
      <c r="BO382" s="288"/>
      <c r="BP382" s="288"/>
      <c r="BQ382" s="288"/>
      <c r="BT382" s="288"/>
      <c r="BU382" s="288"/>
      <c r="BV382" s="288"/>
      <c r="BW382" s="288"/>
      <c r="BX382" s="288"/>
      <c r="CA382" s="288"/>
      <c r="CB382" s="288"/>
      <c r="CC382" s="288"/>
      <c r="CD382" s="288"/>
      <c r="CE382" s="288"/>
      <c r="CH382" s="288"/>
      <c r="CI382" s="288"/>
      <c r="CJ382" s="288"/>
      <c r="CK382" s="288"/>
      <c r="CL382" s="288"/>
      <c r="CO382" s="288"/>
      <c r="CP382" s="288"/>
      <c r="CQ382" s="288"/>
      <c r="CR382" s="288"/>
      <c r="CS382" s="288"/>
    </row>
    <row r="383" spans="3:97" x14ac:dyDescent="0.25">
      <c r="C383" s="333">
        <v>260</v>
      </c>
      <c r="D383" s="334">
        <v>0.82</v>
      </c>
      <c r="E383" s="334">
        <v>0.81</v>
      </c>
      <c r="F383" s="334">
        <v>0.79</v>
      </c>
      <c r="G383" s="334">
        <v>0.76</v>
      </c>
      <c r="H383" s="335">
        <v>0.73</v>
      </c>
      <c r="I383" s="334">
        <v>0.69</v>
      </c>
      <c r="J383" s="334">
        <v>0.65</v>
      </c>
      <c r="K383" s="334">
        <v>0.61</v>
      </c>
      <c r="L383" s="334">
        <v>0.56000000000000005</v>
      </c>
      <c r="M383" s="334">
        <v>0.5</v>
      </c>
      <c r="P383" s="288"/>
      <c r="Q383" s="288"/>
      <c r="R383" s="288"/>
      <c r="S383" s="288"/>
      <c r="T383" s="288"/>
      <c r="W383" s="288"/>
      <c r="X383" s="288"/>
      <c r="Y383" s="288"/>
      <c r="Z383" s="288"/>
      <c r="AA383" s="288"/>
      <c r="AD383" s="288"/>
      <c r="AE383" s="288"/>
      <c r="AF383" s="288"/>
      <c r="AG383" s="288"/>
      <c r="AH383" s="288"/>
      <c r="AK383" s="288"/>
      <c r="AL383" s="288"/>
      <c r="AM383" s="288"/>
      <c r="AN383" s="288"/>
      <c r="AO383" s="288"/>
      <c r="AR383" s="288"/>
      <c r="AS383" s="288"/>
      <c r="AT383" s="288"/>
      <c r="AU383" s="288"/>
      <c r="AV383" s="288"/>
      <c r="AY383" s="288"/>
      <c r="AZ383" s="288"/>
      <c r="BA383" s="288"/>
      <c r="BB383" s="288"/>
      <c r="BC383" s="288"/>
      <c r="BF383" s="288"/>
      <c r="BG383" s="288"/>
      <c r="BH383" s="288"/>
      <c r="BI383" s="288"/>
      <c r="BJ383" s="288"/>
      <c r="BM383" s="288"/>
      <c r="BN383" s="288"/>
      <c r="BO383" s="288"/>
      <c r="BP383" s="288"/>
      <c r="BQ383" s="288"/>
      <c r="BT383" s="288"/>
      <c r="BU383" s="288"/>
      <c r="BV383" s="288"/>
      <c r="BW383" s="288"/>
      <c r="BX383" s="288"/>
      <c r="CA383" s="288"/>
      <c r="CB383" s="288"/>
      <c r="CC383" s="288"/>
      <c r="CD383" s="288"/>
      <c r="CE383" s="288"/>
      <c r="CH383" s="288"/>
      <c r="CI383" s="288"/>
      <c r="CJ383" s="288"/>
      <c r="CK383" s="288"/>
      <c r="CL383" s="288"/>
      <c r="CO383" s="288"/>
      <c r="CP383" s="288"/>
      <c r="CQ383" s="288"/>
      <c r="CR383" s="288"/>
      <c r="CS383" s="288"/>
    </row>
    <row r="384" spans="3:97" x14ac:dyDescent="0.25">
      <c r="C384" s="333">
        <v>270</v>
      </c>
      <c r="D384" s="334">
        <v>0.82</v>
      </c>
      <c r="E384" s="334">
        <v>0.82</v>
      </c>
      <c r="F384" s="334">
        <v>0.81</v>
      </c>
      <c r="G384" s="334">
        <v>0.79</v>
      </c>
      <c r="H384" s="335">
        <v>0.77</v>
      </c>
      <c r="I384" s="334">
        <v>0.74</v>
      </c>
      <c r="J384" s="334">
        <v>0.7</v>
      </c>
      <c r="K384" s="334">
        <v>0.65</v>
      </c>
      <c r="L384" s="334">
        <v>0.61</v>
      </c>
      <c r="M384" s="334">
        <v>0.55000000000000004</v>
      </c>
      <c r="P384" s="288"/>
      <c r="Q384" s="288"/>
      <c r="R384" s="288"/>
      <c r="S384" s="288"/>
      <c r="T384" s="288"/>
      <c r="W384" s="288"/>
      <c r="X384" s="288"/>
      <c r="Y384" s="288"/>
      <c r="Z384" s="288"/>
      <c r="AA384" s="288"/>
      <c r="AD384" s="288"/>
      <c r="AE384" s="288"/>
      <c r="AF384" s="288"/>
      <c r="AG384" s="288"/>
      <c r="AH384" s="288"/>
      <c r="AK384" s="288"/>
      <c r="AL384" s="288"/>
      <c r="AM384" s="288"/>
      <c r="AN384" s="288"/>
      <c r="AO384" s="288"/>
      <c r="AR384" s="288"/>
      <c r="AS384" s="288"/>
      <c r="AT384" s="288"/>
      <c r="AU384" s="288"/>
      <c r="AV384" s="288"/>
      <c r="AY384" s="288"/>
      <c r="AZ384" s="288"/>
      <c r="BA384" s="288"/>
      <c r="BB384" s="288"/>
      <c r="BC384" s="288"/>
      <c r="BF384" s="288"/>
      <c r="BG384" s="288"/>
      <c r="BH384" s="288"/>
      <c r="BI384" s="288"/>
      <c r="BJ384" s="288"/>
      <c r="BM384" s="288"/>
      <c r="BN384" s="288"/>
      <c r="BO384" s="288"/>
      <c r="BP384" s="288"/>
      <c r="BQ384" s="288"/>
      <c r="BT384" s="288"/>
      <c r="BU384" s="288"/>
      <c r="BV384" s="288"/>
      <c r="BW384" s="288"/>
      <c r="BX384" s="288"/>
      <c r="CA384" s="288"/>
      <c r="CB384" s="288"/>
      <c r="CC384" s="288"/>
      <c r="CD384" s="288"/>
      <c r="CE384" s="288"/>
      <c r="CH384" s="288"/>
      <c r="CI384" s="288"/>
      <c r="CJ384" s="288"/>
      <c r="CK384" s="288"/>
      <c r="CL384" s="288"/>
      <c r="CO384" s="288"/>
      <c r="CP384" s="288"/>
      <c r="CQ384" s="288"/>
      <c r="CR384" s="288"/>
      <c r="CS384" s="288"/>
    </row>
    <row r="385" spans="3:97" x14ac:dyDescent="0.25">
      <c r="C385" s="333">
        <v>280</v>
      </c>
      <c r="D385" s="334">
        <v>0.82</v>
      </c>
      <c r="E385" s="334">
        <v>0.83</v>
      </c>
      <c r="F385" s="334">
        <v>0.84</v>
      </c>
      <c r="G385" s="334">
        <v>0.83</v>
      </c>
      <c r="H385" s="335">
        <v>0.81</v>
      </c>
      <c r="I385" s="334">
        <v>0.78</v>
      </c>
      <c r="J385" s="334">
        <v>0.75</v>
      </c>
      <c r="K385" s="334">
        <v>0.7</v>
      </c>
      <c r="L385" s="334">
        <v>0.64</v>
      </c>
      <c r="M385" s="334">
        <v>0.57999999999999996</v>
      </c>
      <c r="P385" s="288"/>
      <c r="Q385" s="288"/>
      <c r="R385" s="288"/>
      <c r="S385" s="288"/>
      <c r="T385" s="288"/>
      <c r="W385" s="288"/>
      <c r="X385" s="288"/>
      <c r="Y385" s="288"/>
      <c r="Z385" s="288"/>
      <c r="AA385" s="288"/>
      <c r="AD385" s="288"/>
      <c r="AE385" s="288"/>
      <c r="AF385" s="288"/>
      <c r="AG385" s="288"/>
      <c r="AH385" s="288"/>
      <c r="AK385" s="288"/>
      <c r="AL385" s="288"/>
      <c r="AM385" s="288"/>
      <c r="AN385" s="288"/>
      <c r="AO385" s="288"/>
      <c r="AR385" s="288"/>
      <c r="AS385" s="288"/>
      <c r="AT385" s="288"/>
      <c r="AU385" s="288"/>
      <c r="AV385" s="288"/>
      <c r="AY385" s="288"/>
      <c r="AZ385" s="288"/>
      <c r="BA385" s="288"/>
      <c r="BB385" s="288"/>
      <c r="BC385" s="288"/>
      <c r="BF385" s="288"/>
      <c r="BG385" s="288"/>
      <c r="BH385" s="288"/>
      <c r="BI385" s="288"/>
      <c r="BJ385" s="288"/>
      <c r="BM385" s="288"/>
      <c r="BN385" s="288"/>
      <c r="BO385" s="288"/>
      <c r="BP385" s="288"/>
      <c r="BQ385" s="288"/>
      <c r="BT385" s="288"/>
      <c r="BU385" s="288"/>
      <c r="BV385" s="288"/>
      <c r="BW385" s="288"/>
      <c r="BX385" s="288"/>
      <c r="CA385" s="288"/>
      <c r="CB385" s="288"/>
      <c r="CC385" s="288"/>
      <c r="CD385" s="288"/>
      <c r="CE385" s="288"/>
      <c r="CH385" s="288"/>
      <c r="CI385" s="288"/>
      <c r="CJ385" s="288"/>
      <c r="CK385" s="288"/>
      <c r="CL385" s="288"/>
      <c r="CO385" s="288"/>
      <c r="CP385" s="288"/>
      <c r="CQ385" s="288"/>
      <c r="CR385" s="288"/>
      <c r="CS385" s="288"/>
    </row>
    <row r="386" spans="3:97" x14ac:dyDescent="0.25">
      <c r="C386" s="333">
        <v>290</v>
      </c>
      <c r="D386" s="334">
        <v>0.82</v>
      </c>
      <c r="E386" s="334">
        <v>0.85</v>
      </c>
      <c r="F386" s="334">
        <v>0.86</v>
      </c>
      <c r="G386" s="334">
        <v>0.86</v>
      </c>
      <c r="H386" s="335">
        <v>0.85</v>
      </c>
      <c r="I386" s="334">
        <v>0.82</v>
      </c>
      <c r="J386" s="334">
        <v>0.79</v>
      </c>
      <c r="K386" s="334">
        <v>0.74</v>
      </c>
      <c r="L386" s="334">
        <v>0.68</v>
      </c>
      <c r="M386" s="334">
        <v>0.61</v>
      </c>
      <c r="P386" s="288"/>
      <c r="Q386" s="288"/>
      <c r="R386" s="288"/>
      <c r="S386" s="288"/>
      <c r="T386" s="288"/>
      <c r="W386" s="288"/>
      <c r="X386" s="288"/>
      <c r="Y386" s="288"/>
      <c r="Z386" s="288"/>
      <c r="AA386" s="288"/>
      <c r="AD386" s="288"/>
      <c r="AE386" s="288"/>
      <c r="AF386" s="288"/>
      <c r="AG386" s="288"/>
      <c r="AH386" s="288"/>
      <c r="AK386" s="288"/>
      <c r="AL386" s="288"/>
      <c r="AM386" s="288"/>
      <c r="AN386" s="288"/>
      <c r="AO386" s="288"/>
      <c r="AR386" s="288"/>
      <c r="AS386" s="288"/>
      <c r="AT386" s="288"/>
      <c r="AU386" s="288"/>
      <c r="AV386" s="288"/>
      <c r="AY386" s="288"/>
      <c r="AZ386" s="288"/>
      <c r="BA386" s="288"/>
      <c r="BB386" s="288"/>
      <c r="BC386" s="288"/>
      <c r="BF386" s="288"/>
      <c r="BG386" s="288"/>
      <c r="BH386" s="288"/>
      <c r="BI386" s="288"/>
      <c r="BJ386" s="288"/>
      <c r="BM386" s="288"/>
      <c r="BN386" s="288"/>
      <c r="BO386" s="288"/>
      <c r="BP386" s="288"/>
      <c r="BQ386" s="288"/>
      <c r="BT386" s="288"/>
      <c r="BU386" s="288"/>
      <c r="BV386" s="288"/>
      <c r="BW386" s="288"/>
      <c r="BX386" s="288"/>
      <c r="CA386" s="288"/>
      <c r="CB386" s="288"/>
      <c r="CC386" s="288"/>
      <c r="CD386" s="288"/>
      <c r="CE386" s="288"/>
      <c r="CH386" s="288"/>
      <c r="CI386" s="288"/>
      <c r="CJ386" s="288"/>
      <c r="CK386" s="288"/>
      <c r="CL386" s="288"/>
      <c r="CO386" s="288"/>
      <c r="CP386" s="288"/>
      <c r="CQ386" s="288"/>
      <c r="CR386" s="288"/>
      <c r="CS386" s="288"/>
    </row>
    <row r="387" spans="3:97" x14ac:dyDescent="0.25">
      <c r="C387" s="333">
        <v>300</v>
      </c>
      <c r="D387" s="334">
        <v>0.82</v>
      </c>
      <c r="E387" s="334">
        <v>0.85</v>
      </c>
      <c r="F387" s="334">
        <v>0.88</v>
      </c>
      <c r="G387" s="334">
        <v>0.89</v>
      </c>
      <c r="H387" s="335">
        <v>0.88</v>
      </c>
      <c r="I387" s="334">
        <v>0.86</v>
      </c>
      <c r="J387" s="334">
        <v>0.82</v>
      </c>
      <c r="K387" s="334">
        <v>0.78</v>
      </c>
      <c r="L387" s="334">
        <v>0.72</v>
      </c>
      <c r="M387" s="334">
        <v>0.64</v>
      </c>
      <c r="P387" s="288"/>
      <c r="Q387" s="288"/>
      <c r="R387" s="288"/>
      <c r="S387" s="288"/>
      <c r="T387" s="288"/>
      <c r="W387" s="288"/>
      <c r="X387" s="288"/>
      <c r="Y387" s="288"/>
      <c r="Z387" s="288"/>
      <c r="AA387" s="288"/>
      <c r="AD387" s="288"/>
      <c r="AE387" s="288"/>
      <c r="AF387" s="288"/>
      <c r="AG387" s="288"/>
      <c r="AH387" s="288"/>
      <c r="AK387" s="288"/>
      <c r="AL387" s="288"/>
      <c r="AM387" s="288"/>
      <c r="AN387" s="288"/>
      <c r="AO387" s="288"/>
      <c r="AR387" s="288"/>
      <c r="AS387" s="288"/>
      <c r="AT387" s="288"/>
      <c r="AU387" s="288"/>
      <c r="AV387" s="288"/>
      <c r="AY387" s="288"/>
      <c r="AZ387" s="288"/>
      <c r="BA387" s="288"/>
      <c r="BB387" s="288"/>
      <c r="BC387" s="288"/>
      <c r="BF387" s="288"/>
      <c r="BG387" s="288"/>
      <c r="BH387" s="288"/>
      <c r="BI387" s="288"/>
      <c r="BJ387" s="288"/>
      <c r="BM387" s="288"/>
      <c r="BN387" s="288"/>
      <c r="BO387" s="288"/>
      <c r="BP387" s="288"/>
      <c r="BQ387" s="288"/>
      <c r="BT387" s="288"/>
      <c r="BU387" s="288"/>
      <c r="BV387" s="288"/>
      <c r="BW387" s="288"/>
      <c r="BX387" s="288"/>
      <c r="CA387" s="288"/>
      <c r="CB387" s="288"/>
      <c r="CC387" s="288"/>
      <c r="CD387" s="288"/>
      <c r="CE387" s="288"/>
      <c r="CH387" s="288"/>
      <c r="CI387" s="288"/>
      <c r="CJ387" s="288"/>
      <c r="CK387" s="288"/>
      <c r="CL387" s="288"/>
      <c r="CO387" s="288"/>
      <c r="CP387" s="288"/>
      <c r="CQ387" s="288"/>
      <c r="CR387" s="288"/>
      <c r="CS387" s="288"/>
    </row>
    <row r="388" spans="3:97" x14ac:dyDescent="0.25">
      <c r="C388" s="333">
        <v>310</v>
      </c>
      <c r="D388" s="334">
        <v>0.82</v>
      </c>
      <c r="E388" s="334">
        <v>0.87</v>
      </c>
      <c r="F388" s="334">
        <v>0.9</v>
      </c>
      <c r="G388" s="334">
        <v>0.92</v>
      </c>
      <c r="H388" s="335">
        <v>0.92</v>
      </c>
      <c r="I388" s="334">
        <v>0.9</v>
      </c>
      <c r="J388" s="334">
        <v>0.86</v>
      </c>
      <c r="K388" s="334">
        <v>0.81</v>
      </c>
      <c r="L388" s="334">
        <v>0.74</v>
      </c>
      <c r="M388" s="334">
        <v>0.67</v>
      </c>
      <c r="P388" s="288"/>
      <c r="Q388" s="288"/>
      <c r="R388" s="288"/>
      <c r="S388" s="288"/>
      <c r="T388" s="288"/>
      <c r="W388" s="288"/>
      <c r="X388" s="288"/>
      <c r="Y388" s="288"/>
      <c r="Z388" s="288"/>
      <c r="AA388" s="288"/>
      <c r="AD388" s="288"/>
      <c r="AE388" s="288"/>
      <c r="AF388" s="288"/>
      <c r="AG388" s="288"/>
      <c r="AH388" s="288"/>
      <c r="AK388" s="288"/>
      <c r="AL388" s="288"/>
      <c r="AM388" s="288"/>
      <c r="AN388" s="288"/>
      <c r="AO388" s="288"/>
      <c r="AR388" s="288"/>
      <c r="AS388" s="288"/>
      <c r="AT388" s="288"/>
      <c r="AU388" s="288"/>
      <c r="AV388" s="288"/>
      <c r="AY388" s="288"/>
      <c r="AZ388" s="288"/>
      <c r="BA388" s="288"/>
      <c r="BB388" s="288"/>
      <c r="BC388" s="288"/>
      <c r="BF388" s="288"/>
      <c r="BG388" s="288"/>
      <c r="BH388" s="288"/>
      <c r="BI388" s="288"/>
      <c r="BJ388" s="288"/>
      <c r="BM388" s="288"/>
      <c r="BN388" s="288"/>
      <c r="BO388" s="288"/>
      <c r="BP388" s="288"/>
      <c r="BQ388" s="288"/>
      <c r="BT388" s="288"/>
      <c r="BU388" s="288"/>
      <c r="BV388" s="288"/>
      <c r="BW388" s="288"/>
      <c r="BX388" s="288"/>
      <c r="CA388" s="288"/>
      <c r="CB388" s="288"/>
      <c r="CC388" s="288"/>
      <c r="CD388" s="288"/>
      <c r="CE388" s="288"/>
      <c r="CH388" s="288"/>
      <c r="CI388" s="288"/>
      <c r="CJ388" s="288"/>
      <c r="CK388" s="288"/>
      <c r="CL388" s="288"/>
      <c r="CO388" s="288"/>
      <c r="CP388" s="288"/>
      <c r="CQ388" s="288"/>
      <c r="CR388" s="288"/>
      <c r="CS388" s="288"/>
    </row>
    <row r="389" spans="3:97" x14ac:dyDescent="0.25">
      <c r="C389" s="333">
        <v>320</v>
      </c>
      <c r="D389" s="334">
        <v>0.82</v>
      </c>
      <c r="E389" s="334">
        <v>0.88</v>
      </c>
      <c r="F389" s="334">
        <v>0.92</v>
      </c>
      <c r="G389" s="334">
        <v>0.94</v>
      </c>
      <c r="H389" s="335">
        <v>0.95</v>
      </c>
      <c r="I389" s="334">
        <v>0.93</v>
      </c>
      <c r="J389" s="334">
        <v>0.89</v>
      </c>
      <c r="K389" s="334">
        <v>0.84</v>
      </c>
      <c r="L389" s="334">
        <v>0.76</v>
      </c>
      <c r="M389" s="334">
        <v>0.68</v>
      </c>
      <c r="P389" s="288"/>
      <c r="Q389" s="288"/>
      <c r="R389" s="288"/>
      <c r="S389" s="288"/>
      <c r="T389" s="288"/>
      <c r="W389" s="288"/>
      <c r="X389" s="288"/>
      <c r="Y389" s="288"/>
      <c r="Z389" s="288"/>
      <c r="AA389" s="288"/>
      <c r="AD389" s="288"/>
      <c r="AE389" s="288"/>
      <c r="AF389" s="288"/>
      <c r="AG389" s="288"/>
      <c r="AH389" s="288"/>
      <c r="AK389" s="288"/>
      <c r="AL389" s="288"/>
      <c r="AM389" s="288"/>
      <c r="AN389" s="288"/>
      <c r="AO389" s="288"/>
      <c r="AR389" s="288"/>
      <c r="AS389" s="288"/>
      <c r="AT389" s="288"/>
      <c r="AU389" s="288"/>
      <c r="AV389" s="288"/>
      <c r="AY389" s="288"/>
      <c r="AZ389" s="288"/>
      <c r="BA389" s="288"/>
      <c r="BB389" s="288"/>
      <c r="BC389" s="288"/>
      <c r="BF389" s="288"/>
      <c r="BG389" s="288"/>
      <c r="BH389" s="288"/>
      <c r="BI389" s="288"/>
      <c r="BJ389" s="288"/>
      <c r="BM389" s="288"/>
      <c r="BN389" s="288"/>
      <c r="BO389" s="288"/>
      <c r="BP389" s="288"/>
      <c r="BQ389" s="288"/>
      <c r="BT389" s="288"/>
      <c r="BU389" s="288"/>
      <c r="BV389" s="288"/>
      <c r="BW389" s="288"/>
      <c r="BX389" s="288"/>
      <c r="CA389" s="288"/>
      <c r="CB389" s="288"/>
      <c r="CC389" s="288"/>
      <c r="CD389" s="288"/>
      <c r="CE389" s="288"/>
      <c r="CH389" s="288"/>
      <c r="CI389" s="288"/>
      <c r="CJ389" s="288"/>
      <c r="CK389" s="288"/>
      <c r="CL389" s="288"/>
      <c r="CO389" s="288"/>
      <c r="CP389" s="288"/>
      <c r="CQ389" s="288"/>
      <c r="CR389" s="288"/>
      <c r="CS389" s="288"/>
    </row>
    <row r="390" spans="3:97" x14ac:dyDescent="0.25">
      <c r="C390" s="333">
        <v>330</v>
      </c>
      <c r="D390" s="334">
        <v>0.82</v>
      </c>
      <c r="E390" s="334">
        <v>0.88</v>
      </c>
      <c r="F390" s="334">
        <v>0.93</v>
      </c>
      <c r="G390" s="334">
        <v>0.96</v>
      </c>
      <c r="H390" s="335">
        <v>0.96</v>
      </c>
      <c r="I390" s="334">
        <v>0.95</v>
      </c>
      <c r="J390" s="334">
        <v>0.92</v>
      </c>
      <c r="K390" s="334">
        <v>0.86</v>
      </c>
      <c r="L390" s="334">
        <v>0.79</v>
      </c>
      <c r="M390" s="334">
        <v>0.7</v>
      </c>
      <c r="P390" s="288"/>
      <c r="Q390" s="288"/>
      <c r="R390" s="288"/>
      <c r="S390" s="288"/>
      <c r="T390" s="288"/>
      <c r="W390" s="288"/>
      <c r="X390" s="288"/>
      <c r="Y390" s="288"/>
      <c r="Z390" s="288"/>
      <c r="AA390" s="288"/>
      <c r="AD390" s="288"/>
      <c r="AE390" s="288"/>
      <c r="AF390" s="288"/>
      <c r="AG390" s="288"/>
      <c r="AH390" s="288"/>
      <c r="AK390" s="288"/>
      <c r="AL390" s="288"/>
      <c r="AM390" s="288"/>
      <c r="AN390" s="288"/>
      <c r="AO390" s="288"/>
      <c r="AR390" s="288"/>
      <c r="AS390" s="288"/>
      <c r="AT390" s="288"/>
      <c r="AU390" s="288"/>
      <c r="AV390" s="288"/>
      <c r="AY390" s="288"/>
      <c r="AZ390" s="288"/>
      <c r="BA390" s="288"/>
      <c r="BB390" s="288"/>
      <c r="BC390" s="288"/>
      <c r="BF390" s="288"/>
      <c r="BG390" s="288"/>
      <c r="BH390" s="288"/>
      <c r="BI390" s="288"/>
      <c r="BJ390" s="288"/>
      <c r="BM390" s="288"/>
      <c r="BN390" s="288"/>
      <c r="BO390" s="288"/>
      <c r="BP390" s="288"/>
      <c r="BQ390" s="288"/>
      <c r="BT390" s="288"/>
      <c r="BU390" s="288"/>
      <c r="BV390" s="288"/>
      <c r="BW390" s="288"/>
      <c r="BX390" s="288"/>
      <c r="CA390" s="288"/>
      <c r="CB390" s="288"/>
      <c r="CC390" s="288"/>
      <c r="CD390" s="288"/>
      <c r="CE390" s="288"/>
      <c r="CH390" s="288"/>
      <c r="CI390" s="288"/>
      <c r="CJ390" s="288"/>
      <c r="CK390" s="288"/>
      <c r="CL390" s="288"/>
      <c r="CO390" s="288"/>
      <c r="CP390" s="288"/>
      <c r="CQ390" s="288"/>
      <c r="CR390" s="288"/>
      <c r="CS390" s="288"/>
    </row>
    <row r="391" spans="3:97" x14ac:dyDescent="0.25">
      <c r="C391" s="333">
        <v>340</v>
      </c>
      <c r="D391" s="334">
        <v>0.82</v>
      </c>
      <c r="E391" s="334">
        <v>0.89</v>
      </c>
      <c r="F391" s="334">
        <v>0.95</v>
      </c>
      <c r="G391" s="334">
        <v>0.98</v>
      </c>
      <c r="H391" s="335">
        <v>0.98</v>
      </c>
      <c r="I391" s="334">
        <v>0.97</v>
      </c>
      <c r="J391" s="334">
        <v>0.93</v>
      </c>
      <c r="K391" s="334">
        <v>0.87</v>
      </c>
      <c r="L391" s="334">
        <v>0.8</v>
      </c>
      <c r="M391" s="334">
        <v>0.71</v>
      </c>
      <c r="P391" s="288"/>
      <c r="Q391" s="288"/>
      <c r="R391" s="288"/>
      <c r="S391" s="288"/>
      <c r="T391" s="288"/>
      <c r="W391" s="288"/>
      <c r="X391" s="288"/>
      <c r="Y391" s="288"/>
      <c r="Z391" s="288"/>
      <c r="AA391" s="288"/>
      <c r="AD391" s="288"/>
      <c r="AE391" s="288"/>
      <c r="AF391" s="288"/>
      <c r="AG391" s="288"/>
      <c r="AH391" s="288"/>
      <c r="AK391" s="288"/>
      <c r="AL391" s="288"/>
      <c r="AM391" s="288"/>
      <c r="AN391" s="288"/>
      <c r="AO391" s="288"/>
      <c r="AR391" s="288"/>
      <c r="AS391" s="288"/>
      <c r="AT391" s="288"/>
      <c r="AU391" s="288"/>
      <c r="AV391" s="288"/>
      <c r="AY391" s="288"/>
      <c r="AZ391" s="288"/>
      <c r="BA391" s="288"/>
      <c r="BB391" s="288"/>
      <c r="BC391" s="288"/>
      <c r="BF391" s="288"/>
      <c r="BG391" s="288"/>
      <c r="BH391" s="288"/>
      <c r="BI391" s="288"/>
      <c r="BJ391" s="288"/>
      <c r="BM391" s="288"/>
      <c r="BN391" s="288"/>
      <c r="BO391" s="288"/>
      <c r="BP391" s="288"/>
      <c r="BQ391" s="288"/>
      <c r="BT391" s="288"/>
      <c r="BU391" s="288"/>
      <c r="BV391" s="288"/>
      <c r="BW391" s="288"/>
      <c r="BX391" s="288"/>
      <c r="CA391" s="288"/>
      <c r="CB391" s="288"/>
      <c r="CC391" s="288"/>
      <c r="CD391" s="288"/>
      <c r="CE391" s="288"/>
      <c r="CH391" s="288"/>
      <c r="CI391" s="288"/>
      <c r="CJ391" s="288"/>
      <c r="CK391" s="288"/>
      <c r="CL391" s="288"/>
      <c r="CO391" s="288"/>
      <c r="CP391" s="288"/>
      <c r="CQ391" s="288"/>
      <c r="CR391" s="288"/>
      <c r="CS391" s="288"/>
    </row>
    <row r="392" spans="3:97" x14ac:dyDescent="0.25">
      <c r="C392" s="333">
        <v>350</v>
      </c>
      <c r="D392" s="334">
        <v>0.82</v>
      </c>
      <c r="E392" s="334">
        <v>0.89</v>
      </c>
      <c r="F392" s="334">
        <v>0.95</v>
      </c>
      <c r="G392" s="334">
        <v>0.98</v>
      </c>
      <c r="H392" s="335">
        <v>0.99</v>
      </c>
      <c r="I392" s="334">
        <v>0.98</v>
      </c>
      <c r="J392" s="334">
        <v>0.95</v>
      </c>
      <c r="K392" s="334">
        <v>0.88</v>
      </c>
      <c r="L392" s="334">
        <v>0.81</v>
      </c>
      <c r="M392" s="334">
        <v>0.72</v>
      </c>
      <c r="P392" s="288"/>
      <c r="Q392" s="288"/>
      <c r="R392" s="288"/>
      <c r="S392" s="288"/>
      <c r="T392" s="288"/>
      <c r="W392" s="288"/>
      <c r="X392" s="288"/>
      <c r="Y392" s="288"/>
      <c r="Z392" s="288"/>
      <c r="AA392" s="288"/>
      <c r="AD392" s="288"/>
      <c r="AE392" s="288"/>
      <c r="AF392" s="288"/>
      <c r="AG392" s="288"/>
      <c r="AH392" s="288"/>
      <c r="AK392" s="288"/>
      <c r="AL392" s="288"/>
      <c r="AM392" s="288"/>
      <c r="AN392" s="288"/>
      <c r="AO392" s="288"/>
      <c r="AR392" s="288"/>
      <c r="AS392" s="288"/>
      <c r="AT392" s="288"/>
      <c r="AU392" s="288"/>
      <c r="AV392" s="288"/>
      <c r="AY392" s="288"/>
      <c r="AZ392" s="288"/>
      <c r="BA392" s="288"/>
      <c r="BB392" s="288"/>
      <c r="BC392" s="288"/>
      <c r="BF392" s="288"/>
      <c r="BG392" s="288"/>
      <c r="BH392" s="288"/>
      <c r="BI392" s="288"/>
      <c r="BJ392" s="288"/>
      <c r="BM392" s="288"/>
      <c r="BN392" s="288"/>
      <c r="BO392" s="288"/>
      <c r="BP392" s="288"/>
      <c r="BQ392" s="288"/>
      <c r="BT392" s="288"/>
      <c r="BU392" s="288"/>
      <c r="BV392" s="288"/>
      <c r="BW392" s="288"/>
      <c r="BX392" s="288"/>
      <c r="CA392" s="288"/>
      <c r="CB392" s="288"/>
      <c r="CC392" s="288"/>
      <c r="CD392" s="288"/>
      <c r="CE392" s="288"/>
      <c r="CH392" s="288"/>
      <c r="CI392" s="288"/>
      <c r="CJ392" s="288"/>
      <c r="CK392" s="288"/>
      <c r="CL392" s="288"/>
      <c r="CO392" s="288"/>
      <c r="CP392" s="288"/>
      <c r="CQ392" s="288"/>
      <c r="CR392" s="288"/>
      <c r="CS392" s="288"/>
    </row>
    <row r="393" spans="3:97" x14ac:dyDescent="0.25">
      <c r="F393" s="260"/>
      <c r="P393" s="288"/>
      <c r="Q393" s="288"/>
      <c r="R393" s="288"/>
      <c r="S393" s="288"/>
      <c r="T393" s="288"/>
      <c r="W393" s="288"/>
      <c r="X393" s="288"/>
      <c r="Y393" s="288"/>
      <c r="Z393" s="288"/>
      <c r="AA393" s="288"/>
      <c r="AD393" s="288"/>
      <c r="AE393" s="288"/>
      <c r="AF393" s="288"/>
      <c r="AG393" s="288"/>
      <c r="AH393" s="288"/>
      <c r="AK393" s="288"/>
      <c r="AL393" s="288"/>
      <c r="AM393" s="288"/>
      <c r="AN393" s="288"/>
      <c r="AO393" s="288"/>
      <c r="AR393" s="288"/>
      <c r="AS393" s="288"/>
      <c r="AT393" s="288"/>
      <c r="AU393" s="288"/>
      <c r="AV393" s="288"/>
      <c r="AY393" s="288"/>
      <c r="AZ393" s="288"/>
      <c r="BA393" s="288"/>
      <c r="BB393" s="288"/>
      <c r="BC393" s="288"/>
      <c r="BF393" s="288"/>
      <c r="BG393" s="288"/>
      <c r="BH393" s="288"/>
      <c r="BI393" s="288"/>
      <c r="BJ393" s="288"/>
      <c r="BM393" s="288"/>
      <c r="BN393" s="288"/>
      <c r="BO393" s="288"/>
      <c r="BP393" s="288"/>
      <c r="BQ393" s="288"/>
      <c r="BT393" s="288"/>
      <c r="BU393" s="288"/>
      <c r="BV393" s="288"/>
      <c r="BW393" s="288"/>
      <c r="BX393" s="288"/>
      <c r="CA393" s="288"/>
      <c r="CB393" s="288"/>
      <c r="CC393" s="288"/>
      <c r="CD393" s="288"/>
      <c r="CE393" s="288"/>
      <c r="CH393" s="288"/>
      <c r="CI393" s="288"/>
      <c r="CJ393" s="288"/>
      <c r="CK393" s="288"/>
      <c r="CL393" s="288"/>
      <c r="CO393" s="288"/>
      <c r="CP393" s="288"/>
      <c r="CQ393" s="288"/>
      <c r="CR393" s="288"/>
      <c r="CS393" s="288"/>
    </row>
    <row r="394" spans="3:97" x14ac:dyDescent="0.25">
      <c r="F394" s="260"/>
      <c r="P394" s="288"/>
      <c r="Q394" s="288"/>
      <c r="R394" s="288"/>
      <c r="S394" s="288"/>
      <c r="T394" s="288"/>
      <c r="W394" s="288"/>
      <c r="X394" s="288"/>
      <c r="Y394" s="288"/>
      <c r="Z394" s="288"/>
      <c r="AA394" s="288"/>
      <c r="AD394" s="288"/>
      <c r="AE394" s="288"/>
      <c r="AF394" s="288"/>
      <c r="AG394" s="288"/>
      <c r="AH394" s="288"/>
      <c r="AK394" s="288"/>
      <c r="AL394" s="288"/>
      <c r="AM394" s="288"/>
      <c r="AN394" s="288"/>
      <c r="AO394" s="288"/>
      <c r="AR394" s="288"/>
      <c r="AS394" s="288"/>
      <c r="AT394" s="288"/>
      <c r="AU394" s="288"/>
      <c r="AV394" s="288"/>
      <c r="AY394" s="288"/>
      <c r="AZ394" s="288"/>
      <c r="BA394" s="288"/>
      <c r="BB394" s="288"/>
      <c r="BC394" s="288"/>
      <c r="BF394" s="288"/>
      <c r="BG394" s="288"/>
      <c r="BH394" s="288"/>
      <c r="BI394" s="288"/>
      <c r="BJ394" s="288"/>
      <c r="BM394" s="288"/>
      <c r="BN394" s="288"/>
      <c r="BO394" s="288"/>
      <c r="BP394" s="288"/>
      <c r="BQ394" s="288"/>
      <c r="BT394" s="288"/>
      <c r="BU394" s="288"/>
      <c r="BV394" s="288"/>
      <c r="BW394" s="288"/>
      <c r="BX394" s="288"/>
      <c r="CA394" s="288"/>
      <c r="CB394" s="288"/>
      <c r="CC394" s="288"/>
      <c r="CD394" s="288"/>
      <c r="CE394" s="288"/>
      <c r="CH394" s="288"/>
      <c r="CI394" s="288"/>
      <c r="CJ394" s="288"/>
      <c r="CK394" s="288"/>
      <c r="CL394" s="288"/>
      <c r="CO394" s="288"/>
      <c r="CP394" s="288"/>
      <c r="CQ394" s="288"/>
      <c r="CR394" s="288"/>
      <c r="CS394" s="288"/>
    </row>
    <row r="395" spans="3:97" x14ac:dyDescent="0.25">
      <c r="C395" s="415" t="s">
        <v>226</v>
      </c>
      <c r="D395" s="415"/>
      <c r="E395" s="415"/>
      <c r="F395" s="415"/>
      <c r="G395" s="415"/>
      <c r="H395" s="415"/>
      <c r="I395" s="415"/>
      <c r="J395" s="415"/>
      <c r="K395" s="415"/>
      <c r="L395" s="415"/>
      <c r="M395" s="415"/>
      <c r="O395" s="279" t="s">
        <v>15</v>
      </c>
    </row>
    <row r="396" spans="3:97" ht="15.75" customHeight="1" x14ac:dyDescent="0.25">
      <c r="C396" s="416" t="s">
        <v>221</v>
      </c>
      <c r="D396" s="416" t="s">
        <v>222</v>
      </c>
      <c r="E396" s="416"/>
      <c r="F396" s="416"/>
      <c r="G396" s="416"/>
      <c r="H396" s="416"/>
      <c r="I396" s="416"/>
      <c r="J396" s="416"/>
      <c r="K396" s="416"/>
      <c r="L396" s="416"/>
      <c r="M396" s="416"/>
      <c r="O396" s="415" t="str">
        <f>O395&amp;" - Janurary"</f>
        <v>Sydney - Janurary</v>
      </c>
      <c r="P396" s="415"/>
      <c r="Q396" s="415"/>
      <c r="R396" s="415"/>
      <c r="S396" s="415"/>
      <c r="T396" s="415"/>
      <c r="V396" s="415" t="str">
        <f>O395&amp;" - February"</f>
        <v>Sydney - February</v>
      </c>
      <c r="W396" s="415"/>
      <c r="X396" s="415"/>
      <c r="Y396" s="415"/>
      <c r="Z396" s="415"/>
      <c r="AA396" s="415"/>
      <c r="AC396" s="415" t="str">
        <f>O395&amp;" - March"</f>
        <v>Sydney - March</v>
      </c>
      <c r="AD396" s="415"/>
      <c r="AE396" s="415"/>
      <c r="AF396" s="415"/>
      <c r="AG396" s="415"/>
      <c r="AH396" s="415"/>
      <c r="AJ396" s="415" t="str">
        <f>O395&amp;" - April"</f>
        <v>Sydney - April</v>
      </c>
      <c r="AK396" s="415"/>
      <c r="AL396" s="415"/>
      <c r="AM396" s="415"/>
      <c r="AN396" s="415"/>
      <c r="AO396" s="415"/>
      <c r="AQ396" s="415" t="str">
        <f>O395&amp;" - May"</f>
        <v>Sydney - May</v>
      </c>
      <c r="AR396" s="415"/>
      <c r="AS396" s="415"/>
      <c r="AT396" s="415"/>
      <c r="AU396" s="415"/>
      <c r="AV396" s="415"/>
      <c r="AX396" s="415" t="str">
        <f>O395&amp;" - June"</f>
        <v>Sydney - June</v>
      </c>
      <c r="AY396" s="415"/>
      <c r="AZ396" s="415"/>
      <c r="BA396" s="415"/>
      <c r="BB396" s="415"/>
      <c r="BC396" s="415"/>
      <c r="BE396" s="415" t="str">
        <f>O395&amp;" - July"</f>
        <v>Sydney - July</v>
      </c>
      <c r="BF396" s="415"/>
      <c r="BG396" s="415"/>
      <c r="BH396" s="415"/>
      <c r="BI396" s="415"/>
      <c r="BJ396" s="415"/>
      <c r="BL396" s="415" t="str">
        <f>O395&amp;" - August"</f>
        <v>Sydney - August</v>
      </c>
      <c r="BM396" s="415"/>
      <c r="BN396" s="415"/>
      <c r="BO396" s="415"/>
      <c r="BP396" s="415"/>
      <c r="BQ396" s="415"/>
      <c r="BS396" s="415" t="str">
        <f>O395&amp;" - September"</f>
        <v>Sydney - September</v>
      </c>
      <c r="BT396" s="415"/>
      <c r="BU396" s="415"/>
      <c r="BV396" s="415"/>
      <c r="BW396" s="415"/>
      <c r="BX396" s="415"/>
      <c r="BZ396" s="415" t="str">
        <f>O395&amp;" - October"</f>
        <v>Sydney - October</v>
      </c>
      <c r="CA396" s="415"/>
      <c r="CB396" s="415"/>
      <c r="CC396" s="415"/>
      <c r="CD396" s="415"/>
      <c r="CE396" s="415"/>
      <c r="CG396" s="415" t="str">
        <f>O395&amp;" - November"</f>
        <v>Sydney - November</v>
      </c>
      <c r="CH396" s="415"/>
      <c r="CI396" s="415"/>
      <c r="CJ396" s="415"/>
      <c r="CK396" s="415"/>
      <c r="CL396" s="415"/>
      <c r="CN396" s="415" t="str">
        <f>O395&amp;" - December"</f>
        <v>Sydney - December</v>
      </c>
      <c r="CO396" s="415"/>
      <c r="CP396" s="415"/>
      <c r="CQ396" s="415"/>
      <c r="CR396" s="415"/>
      <c r="CS396" s="415"/>
    </row>
    <row r="397" spans="3:97" x14ac:dyDescent="0.25">
      <c r="C397" s="416"/>
      <c r="D397" s="333">
        <v>0</v>
      </c>
      <c r="E397" s="333">
        <v>10</v>
      </c>
      <c r="F397" s="333">
        <v>20</v>
      </c>
      <c r="G397" s="333">
        <v>30</v>
      </c>
      <c r="H397" s="333">
        <v>40</v>
      </c>
      <c r="I397" s="333">
        <v>50</v>
      </c>
      <c r="J397" s="333">
        <v>60</v>
      </c>
      <c r="K397" s="333">
        <v>70</v>
      </c>
      <c r="L397" s="333">
        <v>80</v>
      </c>
      <c r="M397" s="333">
        <v>90</v>
      </c>
      <c r="O397" s="416" t="s">
        <v>221</v>
      </c>
      <c r="P397" s="416" t="s">
        <v>222</v>
      </c>
      <c r="Q397" s="416"/>
      <c r="R397" s="416"/>
      <c r="S397" s="416"/>
      <c r="T397" s="416"/>
      <c r="V397" s="416" t="s">
        <v>221</v>
      </c>
      <c r="W397" s="416" t="s">
        <v>222</v>
      </c>
      <c r="X397" s="416"/>
      <c r="Y397" s="416"/>
      <c r="Z397" s="416"/>
      <c r="AA397" s="416"/>
      <c r="AC397" s="416" t="s">
        <v>221</v>
      </c>
      <c r="AD397" s="416" t="s">
        <v>222</v>
      </c>
      <c r="AE397" s="416"/>
      <c r="AF397" s="416"/>
      <c r="AG397" s="416"/>
      <c r="AH397" s="416"/>
      <c r="AJ397" s="416" t="s">
        <v>221</v>
      </c>
      <c r="AK397" s="416" t="s">
        <v>222</v>
      </c>
      <c r="AL397" s="416"/>
      <c r="AM397" s="416"/>
      <c r="AN397" s="416"/>
      <c r="AO397" s="416"/>
      <c r="AQ397" s="416" t="s">
        <v>221</v>
      </c>
      <c r="AR397" s="416" t="s">
        <v>222</v>
      </c>
      <c r="AS397" s="416"/>
      <c r="AT397" s="416"/>
      <c r="AU397" s="416"/>
      <c r="AV397" s="416"/>
      <c r="AX397" s="416" t="s">
        <v>221</v>
      </c>
      <c r="AY397" s="416" t="s">
        <v>222</v>
      </c>
      <c r="AZ397" s="416"/>
      <c r="BA397" s="416"/>
      <c r="BB397" s="416"/>
      <c r="BC397" s="416"/>
      <c r="BE397" s="416" t="s">
        <v>221</v>
      </c>
      <c r="BF397" s="416" t="s">
        <v>222</v>
      </c>
      <c r="BG397" s="416"/>
      <c r="BH397" s="416"/>
      <c r="BI397" s="416"/>
      <c r="BJ397" s="416"/>
      <c r="BL397" s="416" t="s">
        <v>221</v>
      </c>
      <c r="BM397" s="416" t="s">
        <v>222</v>
      </c>
      <c r="BN397" s="416"/>
      <c r="BO397" s="416"/>
      <c r="BP397" s="416"/>
      <c r="BQ397" s="416"/>
      <c r="BS397" s="416" t="s">
        <v>221</v>
      </c>
      <c r="BT397" s="416" t="s">
        <v>222</v>
      </c>
      <c r="BU397" s="416"/>
      <c r="BV397" s="416"/>
      <c r="BW397" s="416"/>
      <c r="BX397" s="416"/>
      <c r="BZ397" s="416" t="s">
        <v>221</v>
      </c>
      <c r="CA397" s="416" t="s">
        <v>222</v>
      </c>
      <c r="CB397" s="416"/>
      <c r="CC397" s="416"/>
      <c r="CD397" s="416"/>
      <c r="CE397" s="416"/>
      <c r="CG397" s="416" t="s">
        <v>221</v>
      </c>
      <c r="CH397" s="416" t="s">
        <v>222</v>
      </c>
      <c r="CI397" s="416"/>
      <c r="CJ397" s="416"/>
      <c r="CK397" s="416"/>
      <c r="CL397" s="416"/>
      <c r="CN397" s="416" t="s">
        <v>221</v>
      </c>
      <c r="CO397" s="416" t="s">
        <v>222</v>
      </c>
      <c r="CP397" s="416"/>
      <c r="CQ397" s="416"/>
      <c r="CR397" s="416"/>
      <c r="CS397" s="416"/>
    </row>
    <row r="398" spans="3:97" x14ac:dyDescent="0.25">
      <c r="C398" s="333">
        <v>0</v>
      </c>
      <c r="D398" s="334">
        <v>0.87</v>
      </c>
      <c r="E398" s="334">
        <v>0.94</v>
      </c>
      <c r="F398" s="334">
        <v>0.98</v>
      </c>
      <c r="G398" s="334">
        <v>1</v>
      </c>
      <c r="H398" s="334">
        <v>0.99</v>
      </c>
      <c r="I398" s="334">
        <v>0.97</v>
      </c>
      <c r="J398" s="334">
        <v>0.91</v>
      </c>
      <c r="K398" s="334">
        <v>0.84</v>
      </c>
      <c r="L398" s="334">
        <v>0.75</v>
      </c>
      <c r="M398" s="334">
        <v>0.64</v>
      </c>
      <c r="O398" s="416"/>
      <c r="P398" s="333">
        <v>0</v>
      </c>
      <c r="Q398" s="333">
        <v>10</v>
      </c>
      <c r="R398" s="333">
        <v>20</v>
      </c>
      <c r="S398" s="333">
        <v>30</v>
      </c>
      <c r="T398" s="333">
        <v>40</v>
      </c>
      <c r="V398" s="416"/>
      <c r="W398" s="333">
        <v>0</v>
      </c>
      <c r="X398" s="333">
        <v>10</v>
      </c>
      <c r="Y398" s="333">
        <v>20</v>
      </c>
      <c r="Z398" s="333">
        <v>30</v>
      </c>
      <c r="AA398" s="333">
        <v>40</v>
      </c>
      <c r="AC398" s="416"/>
      <c r="AD398" s="333">
        <v>0</v>
      </c>
      <c r="AE398" s="333">
        <v>10</v>
      </c>
      <c r="AF398" s="333">
        <v>20</v>
      </c>
      <c r="AG398" s="333">
        <v>30</v>
      </c>
      <c r="AH398" s="333">
        <v>40</v>
      </c>
      <c r="AJ398" s="416"/>
      <c r="AK398" s="333">
        <v>0</v>
      </c>
      <c r="AL398" s="333">
        <v>10</v>
      </c>
      <c r="AM398" s="333">
        <v>20</v>
      </c>
      <c r="AN398" s="333">
        <v>30</v>
      </c>
      <c r="AO398" s="333">
        <v>40</v>
      </c>
      <c r="AQ398" s="416"/>
      <c r="AR398" s="333">
        <v>0</v>
      </c>
      <c r="AS398" s="333">
        <v>10</v>
      </c>
      <c r="AT398" s="333">
        <v>20</v>
      </c>
      <c r="AU398" s="333">
        <v>30</v>
      </c>
      <c r="AV398" s="333">
        <v>40</v>
      </c>
      <c r="AX398" s="416"/>
      <c r="AY398" s="333">
        <v>0</v>
      </c>
      <c r="AZ398" s="333">
        <v>10</v>
      </c>
      <c r="BA398" s="333">
        <v>20</v>
      </c>
      <c r="BB398" s="333">
        <v>30</v>
      </c>
      <c r="BC398" s="333">
        <v>40</v>
      </c>
      <c r="BE398" s="416"/>
      <c r="BF398" s="333">
        <v>0</v>
      </c>
      <c r="BG398" s="333">
        <v>10</v>
      </c>
      <c r="BH398" s="333">
        <v>20</v>
      </c>
      <c r="BI398" s="333">
        <v>30</v>
      </c>
      <c r="BJ398" s="333">
        <v>40</v>
      </c>
      <c r="BL398" s="416"/>
      <c r="BM398" s="333">
        <v>0</v>
      </c>
      <c r="BN398" s="333">
        <v>10</v>
      </c>
      <c r="BO398" s="333">
        <v>20</v>
      </c>
      <c r="BP398" s="333">
        <v>30</v>
      </c>
      <c r="BQ398" s="333">
        <v>40</v>
      </c>
      <c r="BS398" s="416"/>
      <c r="BT398" s="333">
        <v>0</v>
      </c>
      <c r="BU398" s="333">
        <v>10</v>
      </c>
      <c r="BV398" s="333">
        <v>20</v>
      </c>
      <c r="BW398" s="333">
        <v>30</v>
      </c>
      <c r="BX398" s="333">
        <v>40</v>
      </c>
      <c r="BZ398" s="416"/>
      <c r="CA398" s="333">
        <v>0</v>
      </c>
      <c r="CB398" s="333">
        <v>10</v>
      </c>
      <c r="CC398" s="333">
        <v>20</v>
      </c>
      <c r="CD398" s="333">
        <v>30</v>
      </c>
      <c r="CE398" s="333">
        <v>40</v>
      </c>
      <c r="CG398" s="416"/>
      <c r="CH398" s="333">
        <v>0</v>
      </c>
      <c r="CI398" s="333">
        <v>10</v>
      </c>
      <c r="CJ398" s="333">
        <v>20</v>
      </c>
      <c r="CK398" s="333">
        <v>30</v>
      </c>
      <c r="CL398" s="333">
        <v>40</v>
      </c>
      <c r="CN398" s="416"/>
      <c r="CO398" s="333">
        <v>0</v>
      </c>
      <c r="CP398" s="333">
        <v>10</v>
      </c>
      <c r="CQ398" s="333">
        <v>20</v>
      </c>
      <c r="CR398" s="333">
        <v>30</v>
      </c>
      <c r="CS398" s="333">
        <v>40</v>
      </c>
    </row>
    <row r="399" spans="3:97" x14ac:dyDescent="0.25">
      <c r="C399" s="333">
        <v>10</v>
      </c>
      <c r="D399" s="334">
        <v>0.87</v>
      </c>
      <c r="E399" s="334">
        <v>0.94</v>
      </c>
      <c r="F399" s="334">
        <v>0.98</v>
      </c>
      <c r="G399" s="334">
        <v>1</v>
      </c>
      <c r="H399" s="334">
        <v>0.99</v>
      </c>
      <c r="I399" s="334">
        <v>0.96</v>
      </c>
      <c r="J399" s="334">
        <v>0.91</v>
      </c>
      <c r="K399" s="334">
        <v>0.84</v>
      </c>
      <c r="L399" s="334">
        <v>0.75</v>
      </c>
      <c r="M399" s="334">
        <v>0.64</v>
      </c>
      <c r="O399" s="333">
        <v>270</v>
      </c>
      <c r="P399" s="334">
        <v>1</v>
      </c>
      <c r="Q399" s="334">
        <v>1</v>
      </c>
      <c r="R399" s="334">
        <v>0.99</v>
      </c>
      <c r="S399" s="334">
        <v>0.96</v>
      </c>
      <c r="T399" s="334">
        <v>0.92</v>
      </c>
      <c r="V399" s="333">
        <v>270</v>
      </c>
      <c r="W399" s="334">
        <v>1</v>
      </c>
      <c r="X399" s="334">
        <v>1.01</v>
      </c>
      <c r="Y399" s="334">
        <v>1</v>
      </c>
      <c r="Z399" s="334">
        <v>0.97</v>
      </c>
      <c r="AA399" s="334">
        <v>0.94</v>
      </c>
      <c r="AC399" s="333">
        <v>270</v>
      </c>
      <c r="AD399" s="334">
        <v>1</v>
      </c>
      <c r="AE399" s="334">
        <v>1.01</v>
      </c>
      <c r="AF399" s="334">
        <v>1.01</v>
      </c>
      <c r="AG399" s="334">
        <v>0.99</v>
      </c>
      <c r="AH399" s="334">
        <v>0.96</v>
      </c>
      <c r="AJ399" s="333">
        <v>270</v>
      </c>
      <c r="AK399" s="334">
        <v>1</v>
      </c>
      <c r="AL399" s="334">
        <v>1.01</v>
      </c>
      <c r="AM399" s="334">
        <v>1.01</v>
      </c>
      <c r="AN399" s="334">
        <v>0.99</v>
      </c>
      <c r="AO399" s="334">
        <v>0.97</v>
      </c>
      <c r="AQ399" s="333">
        <v>270</v>
      </c>
      <c r="AR399" s="334">
        <v>1</v>
      </c>
      <c r="AS399" s="334">
        <v>1.02</v>
      </c>
      <c r="AT399" s="334">
        <v>1.02</v>
      </c>
      <c r="AU399" s="334">
        <v>1.01</v>
      </c>
      <c r="AV399" s="334">
        <v>0.99</v>
      </c>
      <c r="AX399" s="333">
        <v>270</v>
      </c>
      <c r="AY399" s="334">
        <v>1</v>
      </c>
      <c r="AZ399" s="334">
        <v>1.01</v>
      </c>
      <c r="BA399" s="334">
        <v>1.01</v>
      </c>
      <c r="BB399" s="334">
        <v>1.01</v>
      </c>
      <c r="BC399" s="334">
        <v>1</v>
      </c>
      <c r="BE399" s="333">
        <v>270</v>
      </c>
      <c r="BF399" s="334">
        <v>1</v>
      </c>
      <c r="BG399" s="334">
        <v>1.01</v>
      </c>
      <c r="BH399" s="334">
        <v>1.02</v>
      </c>
      <c r="BI399" s="334">
        <v>1.01</v>
      </c>
      <c r="BJ399" s="334">
        <v>1</v>
      </c>
      <c r="BL399" s="333">
        <v>270</v>
      </c>
      <c r="BM399" s="334">
        <v>1</v>
      </c>
      <c r="BN399" s="334">
        <v>1.01</v>
      </c>
      <c r="BO399" s="334">
        <v>1.01</v>
      </c>
      <c r="BP399" s="334">
        <v>0.99</v>
      </c>
      <c r="BQ399" s="334">
        <v>0.97</v>
      </c>
      <c r="BS399" s="333">
        <v>270</v>
      </c>
      <c r="BT399" s="334">
        <v>1</v>
      </c>
      <c r="BU399" s="334">
        <v>1.01</v>
      </c>
      <c r="BV399" s="334">
        <v>1.01</v>
      </c>
      <c r="BW399" s="334">
        <v>0.99</v>
      </c>
      <c r="BX399" s="334">
        <v>0.96</v>
      </c>
      <c r="BZ399" s="333">
        <v>270</v>
      </c>
      <c r="CA399" s="334">
        <v>1</v>
      </c>
      <c r="CB399" s="334">
        <v>1</v>
      </c>
      <c r="CC399" s="334">
        <v>1</v>
      </c>
      <c r="CD399" s="334">
        <v>0.98</v>
      </c>
      <c r="CE399" s="334">
        <v>0.95</v>
      </c>
      <c r="CG399" s="333">
        <v>270</v>
      </c>
      <c r="CH399" s="334">
        <v>1</v>
      </c>
      <c r="CI399" s="334">
        <v>1.01</v>
      </c>
      <c r="CJ399" s="334">
        <v>1</v>
      </c>
      <c r="CK399" s="334">
        <v>0.97</v>
      </c>
      <c r="CL399" s="334">
        <v>0.94</v>
      </c>
      <c r="CN399" s="333">
        <v>270</v>
      </c>
      <c r="CO399" s="334">
        <v>1</v>
      </c>
      <c r="CP399" s="334">
        <v>1.01</v>
      </c>
      <c r="CQ399" s="334">
        <v>1</v>
      </c>
      <c r="CR399" s="334">
        <v>0.97</v>
      </c>
      <c r="CS399" s="334">
        <v>0.93</v>
      </c>
    </row>
    <row r="400" spans="3:97" x14ac:dyDescent="0.25">
      <c r="C400" s="333">
        <v>20</v>
      </c>
      <c r="D400" s="334">
        <v>0.87</v>
      </c>
      <c r="E400" s="334">
        <v>0.93</v>
      </c>
      <c r="F400" s="334">
        <v>0.97</v>
      </c>
      <c r="G400" s="335">
        <v>0.99</v>
      </c>
      <c r="H400" s="334">
        <v>0.98</v>
      </c>
      <c r="I400" s="334">
        <v>0.95</v>
      </c>
      <c r="J400" s="334">
        <v>0.9</v>
      </c>
      <c r="K400" s="334">
        <v>0.83</v>
      </c>
      <c r="L400" s="334">
        <v>0.74</v>
      </c>
      <c r="M400" s="334">
        <v>0.64</v>
      </c>
      <c r="O400" s="333">
        <v>280</v>
      </c>
      <c r="P400" s="334">
        <v>1</v>
      </c>
      <c r="Q400" s="334">
        <v>1</v>
      </c>
      <c r="R400" s="334">
        <v>0.99</v>
      </c>
      <c r="S400" s="334">
        <v>0.97</v>
      </c>
      <c r="T400" s="334">
        <v>0.93</v>
      </c>
      <c r="V400" s="333">
        <v>280</v>
      </c>
      <c r="W400" s="334">
        <v>1</v>
      </c>
      <c r="X400" s="334">
        <v>1.01</v>
      </c>
      <c r="Y400" s="334">
        <v>1.01</v>
      </c>
      <c r="Z400" s="334">
        <v>0.99</v>
      </c>
      <c r="AA400" s="334">
        <v>0.96</v>
      </c>
      <c r="AC400" s="333">
        <v>280</v>
      </c>
      <c r="AD400" s="334">
        <v>1</v>
      </c>
      <c r="AE400" s="334">
        <v>1.03</v>
      </c>
      <c r="AF400" s="334">
        <v>1.03</v>
      </c>
      <c r="AG400" s="334">
        <v>1.03</v>
      </c>
      <c r="AH400" s="334">
        <v>1.01</v>
      </c>
      <c r="AJ400" s="333">
        <v>280</v>
      </c>
      <c r="AK400" s="334">
        <v>1</v>
      </c>
      <c r="AL400" s="334">
        <v>1.03</v>
      </c>
      <c r="AM400" s="334">
        <v>1.05</v>
      </c>
      <c r="AN400" s="334">
        <v>1.05</v>
      </c>
      <c r="AO400" s="334">
        <v>1.04</v>
      </c>
      <c r="AQ400" s="333">
        <v>280</v>
      </c>
      <c r="AR400" s="334">
        <v>1</v>
      </c>
      <c r="AS400" s="334">
        <v>1.05</v>
      </c>
      <c r="AT400" s="334">
        <v>1.08</v>
      </c>
      <c r="AU400" s="334">
        <v>1.1000000000000001</v>
      </c>
      <c r="AV400" s="334">
        <v>1.0900000000000001</v>
      </c>
      <c r="AX400" s="333">
        <v>280</v>
      </c>
      <c r="AY400" s="334">
        <v>1</v>
      </c>
      <c r="AZ400" s="334">
        <v>1.05</v>
      </c>
      <c r="BA400" s="334">
        <v>1.0900000000000001</v>
      </c>
      <c r="BB400" s="334">
        <v>1.1100000000000001</v>
      </c>
      <c r="BC400" s="334">
        <v>1.1100000000000001</v>
      </c>
      <c r="BE400" s="333">
        <v>280</v>
      </c>
      <c r="BF400" s="334">
        <v>1</v>
      </c>
      <c r="BG400" s="334">
        <v>1.05</v>
      </c>
      <c r="BH400" s="334">
        <v>1.0900000000000001</v>
      </c>
      <c r="BI400" s="334">
        <v>1.1100000000000001</v>
      </c>
      <c r="BJ400" s="334">
        <v>1.1100000000000001</v>
      </c>
      <c r="BL400" s="333">
        <v>280</v>
      </c>
      <c r="BM400" s="334">
        <v>1</v>
      </c>
      <c r="BN400" s="334">
        <v>1.03</v>
      </c>
      <c r="BO400" s="334">
        <v>1.06</v>
      </c>
      <c r="BP400" s="334">
        <v>1.07</v>
      </c>
      <c r="BQ400" s="334">
        <v>1.06</v>
      </c>
      <c r="BS400" s="333">
        <v>280</v>
      </c>
      <c r="BT400" s="334">
        <v>1</v>
      </c>
      <c r="BU400" s="334">
        <v>1.03</v>
      </c>
      <c r="BV400" s="334">
        <v>1.04</v>
      </c>
      <c r="BW400" s="334">
        <v>1.03</v>
      </c>
      <c r="BX400" s="334">
        <v>1.02</v>
      </c>
      <c r="BZ400" s="333">
        <v>280</v>
      </c>
      <c r="CA400" s="334">
        <v>1</v>
      </c>
      <c r="CB400" s="334">
        <v>1.01</v>
      </c>
      <c r="CC400" s="334">
        <v>1.02</v>
      </c>
      <c r="CD400" s="334">
        <v>1</v>
      </c>
      <c r="CE400" s="334">
        <v>0.98</v>
      </c>
      <c r="CG400" s="333">
        <v>280</v>
      </c>
      <c r="CH400" s="334">
        <v>1</v>
      </c>
      <c r="CI400" s="334">
        <v>1.01</v>
      </c>
      <c r="CJ400" s="334">
        <v>1</v>
      </c>
      <c r="CK400" s="334">
        <v>0.98</v>
      </c>
      <c r="CL400" s="334">
        <v>0.95</v>
      </c>
      <c r="CN400" s="333">
        <v>280</v>
      </c>
      <c r="CO400" s="334">
        <v>1</v>
      </c>
      <c r="CP400" s="334">
        <v>1.01</v>
      </c>
      <c r="CQ400" s="334">
        <v>1</v>
      </c>
      <c r="CR400" s="334">
        <v>0.98</v>
      </c>
      <c r="CS400" s="334">
        <v>0.94</v>
      </c>
    </row>
    <row r="401" spans="3:97" x14ac:dyDescent="0.25">
      <c r="C401" s="333">
        <v>30</v>
      </c>
      <c r="D401" s="334">
        <v>0.87</v>
      </c>
      <c r="E401" s="334">
        <v>0.93</v>
      </c>
      <c r="F401" s="334">
        <v>0.96</v>
      </c>
      <c r="G401" s="335">
        <v>0.98</v>
      </c>
      <c r="H401" s="334">
        <v>0.97</v>
      </c>
      <c r="I401" s="334">
        <v>0.94</v>
      </c>
      <c r="J401" s="334">
        <v>0.88</v>
      </c>
      <c r="K401" s="334">
        <v>0.81</v>
      </c>
      <c r="L401" s="334">
        <v>0.73</v>
      </c>
      <c r="M401" s="334">
        <v>0.63</v>
      </c>
      <c r="O401" s="333">
        <v>290</v>
      </c>
      <c r="P401" s="334">
        <v>1</v>
      </c>
      <c r="Q401" s="334">
        <v>1</v>
      </c>
      <c r="R401" s="334">
        <v>1</v>
      </c>
      <c r="S401" s="334">
        <v>0.97</v>
      </c>
      <c r="T401" s="334">
        <v>0.93</v>
      </c>
      <c r="V401" s="333">
        <v>290</v>
      </c>
      <c r="W401" s="334">
        <v>1</v>
      </c>
      <c r="X401" s="334">
        <v>1.02</v>
      </c>
      <c r="Y401" s="334">
        <v>1.02</v>
      </c>
      <c r="Z401" s="334">
        <v>1</v>
      </c>
      <c r="AA401" s="334">
        <v>0.98</v>
      </c>
      <c r="AC401" s="333">
        <v>290</v>
      </c>
      <c r="AD401" s="334">
        <v>1</v>
      </c>
      <c r="AE401" s="334">
        <v>1.04</v>
      </c>
      <c r="AF401" s="334">
        <v>1.06</v>
      </c>
      <c r="AG401" s="334">
        <v>1.06</v>
      </c>
      <c r="AH401" s="334">
        <v>1.05</v>
      </c>
      <c r="AJ401" s="333">
        <v>290</v>
      </c>
      <c r="AK401" s="334">
        <v>1</v>
      </c>
      <c r="AL401" s="334">
        <v>1.05</v>
      </c>
      <c r="AM401" s="334">
        <v>1.0900000000000001</v>
      </c>
      <c r="AN401" s="334">
        <v>1.1100000000000001</v>
      </c>
      <c r="AO401" s="334">
        <v>1.1100000000000001</v>
      </c>
      <c r="AQ401" s="333">
        <v>290</v>
      </c>
      <c r="AR401" s="334">
        <v>1</v>
      </c>
      <c r="AS401" s="334">
        <v>1.08</v>
      </c>
      <c r="AT401" s="334">
        <v>1.1399999999999999</v>
      </c>
      <c r="AU401" s="334">
        <v>1.18</v>
      </c>
      <c r="AV401" s="334">
        <v>1.2</v>
      </c>
      <c r="AX401" s="333">
        <v>290</v>
      </c>
      <c r="AY401" s="334">
        <v>1</v>
      </c>
      <c r="AZ401" s="334">
        <v>1.0900000000000001</v>
      </c>
      <c r="BA401" s="334">
        <v>1.1499999999999999</v>
      </c>
      <c r="BB401" s="334">
        <v>1.2</v>
      </c>
      <c r="BC401" s="334">
        <v>1.23</v>
      </c>
      <c r="BE401" s="333">
        <v>290</v>
      </c>
      <c r="BF401" s="334">
        <v>1</v>
      </c>
      <c r="BG401" s="334">
        <v>1.0900000000000001</v>
      </c>
      <c r="BH401" s="334">
        <v>1.1499999999999999</v>
      </c>
      <c r="BI401" s="334">
        <v>1.21</v>
      </c>
      <c r="BJ401" s="334">
        <v>1.23</v>
      </c>
      <c r="BL401" s="333">
        <v>290</v>
      </c>
      <c r="BM401" s="334">
        <v>1</v>
      </c>
      <c r="BN401" s="334">
        <v>1.06</v>
      </c>
      <c r="BO401" s="334">
        <v>1.1100000000000001</v>
      </c>
      <c r="BP401" s="334">
        <v>1.1399999999999999</v>
      </c>
      <c r="BQ401" s="334">
        <v>1.1499999999999999</v>
      </c>
      <c r="BS401" s="333">
        <v>290</v>
      </c>
      <c r="BT401" s="334">
        <v>1</v>
      </c>
      <c r="BU401" s="334">
        <v>1.04</v>
      </c>
      <c r="BV401" s="334">
        <v>1.07</v>
      </c>
      <c r="BW401" s="334">
        <v>1.08</v>
      </c>
      <c r="BX401" s="334">
        <v>1.08</v>
      </c>
      <c r="BZ401" s="333">
        <v>290</v>
      </c>
      <c r="CA401" s="334">
        <v>1</v>
      </c>
      <c r="CB401" s="334">
        <v>1.02</v>
      </c>
      <c r="CC401" s="334">
        <v>1.03</v>
      </c>
      <c r="CD401" s="334">
        <v>1.03</v>
      </c>
      <c r="CE401" s="334">
        <v>1</v>
      </c>
      <c r="CG401" s="333">
        <v>290</v>
      </c>
      <c r="CH401" s="334">
        <v>1</v>
      </c>
      <c r="CI401" s="334">
        <v>1.01</v>
      </c>
      <c r="CJ401" s="334">
        <v>1.01</v>
      </c>
      <c r="CK401" s="334">
        <v>0.99</v>
      </c>
      <c r="CL401" s="334">
        <v>0.96</v>
      </c>
      <c r="CN401" s="333">
        <v>290</v>
      </c>
      <c r="CO401" s="334">
        <v>1</v>
      </c>
      <c r="CP401" s="334">
        <v>1.01</v>
      </c>
      <c r="CQ401" s="334">
        <v>1</v>
      </c>
      <c r="CR401" s="334">
        <v>0.98</v>
      </c>
      <c r="CS401" s="334">
        <v>0.93</v>
      </c>
    </row>
    <row r="402" spans="3:97" x14ac:dyDescent="0.25">
      <c r="C402" s="333">
        <v>40</v>
      </c>
      <c r="D402" s="334">
        <v>0.87</v>
      </c>
      <c r="E402" s="334">
        <v>0.92</v>
      </c>
      <c r="F402" s="334">
        <v>0.95</v>
      </c>
      <c r="G402" s="335">
        <v>0.96</v>
      </c>
      <c r="H402" s="334">
        <v>0.95</v>
      </c>
      <c r="I402" s="334">
        <v>0.91</v>
      </c>
      <c r="J402" s="334">
        <v>0.86</v>
      </c>
      <c r="K402" s="334">
        <v>0.79</v>
      </c>
      <c r="L402" s="334">
        <v>0.71</v>
      </c>
      <c r="M402" s="334">
        <v>0.63</v>
      </c>
      <c r="O402" s="333">
        <v>300</v>
      </c>
      <c r="P402" s="334">
        <v>1</v>
      </c>
      <c r="Q402" s="334">
        <v>1.01</v>
      </c>
      <c r="R402" s="335">
        <v>1</v>
      </c>
      <c r="S402" s="334">
        <v>0.97</v>
      </c>
      <c r="T402" s="334">
        <v>0.93</v>
      </c>
      <c r="V402" s="333">
        <v>300</v>
      </c>
      <c r="W402" s="334">
        <v>1</v>
      </c>
      <c r="X402" s="334">
        <v>1.03</v>
      </c>
      <c r="Y402" s="335">
        <v>1.03</v>
      </c>
      <c r="Z402" s="334">
        <v>1.02</v>
      </c>
      <c r="AA402" s="334">
        <v>0.99</v>
      </c>
      <c r="AC402" s="333">
        <v>300</v>
      </c>
      <c r="AD402" s="334">
        <v>1</v>
      </c>
      <c r="AE402" s="334">
        <v>1.05</v>
      </c>
      <c r="AF402" s="335">
        <v>1.08</v>
      </c>
      <c r="AG402" s="334">
        <v>1.0900000000000001</v>
      </c>
      <c r="AH402" s="334">
        <v>1.08</v>
      </c>
      <c r="AJ402" s="333">
        <v>300</v>
      </c>
      <c r="AK402" s="334">
        <v>1</v>
      </c>
      <c r="AL402" s="334">
        <v>1.07</v>
      </c>
      <c r="AM402" s="335">
        <v>1.1299999999999999</v>
      </c>
      <c r="AN402" s="334">
        <v>1.17</v>
      </c>
      <c r="AO402" s="334">
        <v>1.18</v>
      </c>
      <c r="AQ402" s="333">
        <v>300</v>
      </c>
      <c r="AR402" s="334">
        <v>1</v>
      </c>
      <c r="AS402" s="334">
        <v>1.1100000000000001</v>
      </c>
      <c r="AT402" s="335">
        <v>1.2</v>
      </c>
      <c r="AU402" s="334">
        <v>1.26</v>
      </c>
      <c r="AV402" s="334">
        <v>1.3</v>
      </c>
      <c r="AX402" s="333">
        <v>300</v>
      </c>
      <c r="AY402" s="334">
        <v>1</v>
      </c>
      <c r="AZ402" s="334">
        <v>1.1200000000000001</v>
      </c>
      <c r="BA402" s="335">
        <v>1.22</v>
      </c>
      <c r="BB402" s="334">
        <v>1.3</v>
      </c>
      <c r="BC402" s="334">
        <v>1.34</v>
      </c>
      <c r="BE402" s="333">
        <v>300</v>
      </c>
      <c r="BF402" s="334">
        <v>1</v>
      </c>
      <c r="BG402" s="334">
        <v>1.1299999999999999</v>
      </c>
      <c r="BH402" s="335">
        <v>1.22</v>
      </c>
      <c r="BI402" s="334">
        <v>1.29</v>
      </c>
      <c r="BJ402" s="334">
        <v>1.34</v>
      </c>
      <c r="BL402" s="333">
        <v>300</v>
      </c>
      <c r="BM402" s="334">
        <v>1</v>
      </c>
      <c r="BN402" s="334">
        <v>1.0900000000000001</v>
      </c>
      <c r="BO402" s="335">
        <v>1.1599999999999999</v>
      </c>
      <c r="BP402" s="334">
        <v>1.2</v>
      </c>
      <c r="BQ402" s="334">
        <v>1.23</v>
      </c>
      <c r="BS402" s="333">
        <v>300</v>
      </c>
      <c r="BT402" s="334">
        <v>1</v>
      </c>
      <c r="BU402" s="334">
        <v>1.06</v>
      </c>
      <c r="BV402" s="335">
        <v>1.1000000000000001</v>
      </c>
      <c r="BW402" s="334">
        <v>1.1200000000000001</v>
      </c>
      <c r="BX402" s="334">
        <v>1.1200000000000001</v>
      </c>
      <c r="BZ402" s="333">
        <v>300</v>
      </c>
      <c r="CA402" s="334">
        <v>1</v>
      </c>
      <c r="CB402" s="334">
        <v>1.03</v>
      </c>
      <c r="CC402" s="335">
        <v>1.05</v>
      </c>
      <c r="CD402" s="334">
        <v>1.04</v>
      </c>
      <c r="CE402" s="334">
        <v>1.02</v>
      </c>
      <c r="CG402" s="333">
        <v>300</v>
      </c>
      <c r="CH402" s="334">
        <v>1</v>
      </c>
      <c r="CI402" s="334">
        <v>1.02</v>
      </c>
      <c r="CJ402" s="335">
        <v>1.01</v>
      </c>
      <c r="CK402" s="334">
        <v>0.99</v>
      </c>
      <c r="CL402" s="334">
        <v>0.96</v>
      </c>
      <c r="CN402" s="333">
        <v>300</v>
      </c>
      <c r="CO402" s="334">
        <v>1</v>
      </c>
      <c r="CP402" s="334">
        <v>1.01</v>
      </c>
      <c r="CQ402" s="335">
        <v>1</v>
      </c>
      <c r="CR402" s="334">
        <v>0.97</v>
      </c>
      <c r="CS402" s="334">
        <v>0.93</v>
      </c>
    </row>
    <row r="403" spans="3:97" x14ac:dyDescent="0.25">
      <c r="C403" s="333">
        <v>50</v>
      </c>
      <c r="D403" s="334">
        <v>0.87</v>
      </c>
      <c r="E403" s="334">
        <v>0.91</v>
      </c>
      <c r="F403" s="334">
        <v>0.94</v>
      </c>
      <c r="G403" s="335">
        <v>0.94</v>
      </c>
      <c r="H403" s="334">
        <v>0.92</v>
      </c>
      <c r="I403" s="334">
        <v>0.89</v>
      </c>
      <c r="J403" s="334">
        <v>0.84</v>
      </c>
      <c r="K403" s="334">
        <v>0.77</v>
      </c>
      <c r="L403" s="334">
        <v>0.69</v>
      </c>
      <c r="M403" s="334">
        <v>0.61</v>
      </c>
      <c r="O403" s="333">
        <v>310</v>
      </c>
      <c r="P403" s="334">
        <v>1</v>
      </c>
      <c r="Q403" s="334">
        <v>1.01</v>
      </c>
      <c r="R403" s="335">
        <v>1</v>
      </c>
      <c r="S403" s="334">
        <v>0.97</v>
      </c>
      <c r="T403" s="334">
        <v>0.93</v>
      </c>
      <c r="V403" s="333">
        <v>310</v>
      </c>
      <c r="W403" s="334">
        <v>1</v>
      </c>
      <c r="X403" s="334">
        <v>1.03</v>
      </c>
      <c r="Y403" s="335">
        <v>1.04</v>
      </c>
      <c r="Z403" s="334">
        <v>1.03</v>
      </c>
      <c r="AA403" s="334">
        <v>1</v>
      </c>
      <c r="AC403" s="333">
        <v>310</v>
      </c>
      <c r="AD403" s="334">
        <v>1</v>
      </c>
      <c r="AE403" s="334">
        <v>1.06</v>
      </c>
      <c r="AF403" s="335">
        <v>1.1000000000000001</v>
      </c>
      <c r="AG403" s="334">
        <v>1.1200000000000001</v>
      </c>
      <c r="AH403" s="334">
        <v>1.1000000000000001</v>
      </c>
      <c r="AJ403" s="333">
        <v>310</v>
      </c>
      <c r="AK403" s="334">
        <v>1</v>
      </c>
      <c r="AL403" s="334">
        <v>1.0900000000000001</v>
      </c>
      <c r="AM403" s="335">
        <v>1.17</v>
      </c>
      <c r="AN403" s="334">
        <v>1.21</v>
      </c>
      <c r="AO403" s="334">
        <v>1.23</v>
      </c>
      <c r="AQ403" s="333">
        <v>310</v>
      </c>
      <c r="AR403" s="334">
        <v>1</v>
      </c>
      <c r="AS403" s="334">
        <v>1.1399999999999999</v>
      </c>
      <c r="AT403" s="335">
        <v>1.26</v>
      </c>
      <c r="AU403" s="334">
        <v>1.34</v>
      </c>
      <c r="AV403" s="334">
        <v>1.39</v>
      </c>
      <c r="AX403" s="333">
        <v>310</v>
      </c>
      <c r="AY403" s="334">
        <v>1</v>
      </c>
      <c r="AZ403" s="334">
        <v>1.1499999999999999</v>
      </c>
      <c r="BA403" s="335">
        <v>1.28</v>
      </c>
      <c r="BB403" s="334">
        <v>1.38</v>
      </c>
      <c r="BC403" s="334">
        <v>1.45</v>
      </c>
      <c r="BE403" s="333">
        <v>310</v>
      </c>
      <c r="BF403" s="334">
        <v>1</v>
      </c>
      <c r="BG403" s="334">
        <v>1.1499999999999999</v>
      </c>
      <c r="BH403" s="335">
        <v>1.28</v>
      </c>
      <c r="BI403" s="334">
        <v>1.37</v>
      </c>
      <c r="BJ403" s="334">
        <v>1.44</v>
      </c>
      <c r="BL403" s="333">
        <v>310</v>
      </c>
      <c r="BM403" s="334">
        <v>1</v>
      </c>
      <c r="BN403" s="334">
        <v>1.1100000000000001</v>
      </c>
      <c r="BO403" s="335">
        <v>1.2</v>
      </c>
      <c r="BP403" s="334">
        <v>1.27</v>
      </c>
      <c r="BQ403" s="334">
        <v>1.3</v>
      </c>
      <c r="BS403" s="333">
        <v>310</v>
      </c>
      <c r="BT403" s="334">
        <v>1</v>
      </c>
      <c r="BU403" s="334">
        <v>1.08</v>
      </c>
      <c r="BV403" s="335">
        <v>1.1299999999999999</v>
      </c>
      <c r="BW403" s="334">
        <v>1.1599999999999999</v>
      </c>
      <c r="BX403" s="334">
        <v>1.1599999999999999</v>
      </c>
      <c r="BZ403" s="333">
        <v>310</v>
      </c>
      <c r="CA403" s="334">
        <v>1</v>
      </c>
      <c r="CB403" s="334">
        <v>1.04</v>
      </c>
      <c r="CC403" s="335">
        <v>1.06</v>
      </c>
      <c r="CD403" s="334">
        <v>1.06</v>
      </c>
      <c r="CE403" s="334">
        <v>1.04</v>
      </c>
      <c r="CG403" s="333">
        <v>310</v>
      </c>
      <c r="CH403" s="334">
        <v>1</v>
      </c>
      <c r="CI403" s="334">
        <v>1.02</v>
      </c>
      <c r="CJ403" s="335">
        <v>1.01</v>
      </c>
      <c r="CK403" s="334">
        <v>0.99</v>
      </c>
      <c r="CL403" s="334">
        <v>0.96</v>
      </c>
      <c r="CN403" s="333">
        <v>310</v>
      </c>
      <c r="CO403" s="334">
        <v>1</v>
      </c>
      <c r="CP403" s="334">
        <v>1.01</v>
      </c>
      <c r="CQ403" s="335">
        <v>1</v>
      </c>
      <c r="CR403" s="334">
        <v>0.97</v>
      </c>
      <c r="CS403" s="334">
        <v>0.92</v>
      </c>
    </row>
    <row r="404" spans="3:97" x14ac:dyDescent="0.25">
      <c r="C404" s="333">
        <v>60</v>
      </c>
      <c r="D404" s="334">
        <v>0.87</v>
      </c>
      <c r="E404" s="334">
        <v>0.9</v>
      </c>
      <c r="F404" s="334">
        <v>0.92</v>
      </c>
      <c r="G404" s="335">
        <v>0.91</v>
      </c>
      <c r="H404" s="334">
        <v>0.89</v>
      </c>
      <c r="I404" s="334">
        <v>0.86</v>
      </c>
      <c r="J404" s="334">
        <v>0.8</v>
      </c>
      <c r="K404" s="334">
        <v>0.74</v>
      </c>
      <c r="L404" s="334">
        <v>0.67</v>
      </c>
      <c r="M404" s="334">
        <v>0.6</v>
      </c>
      <c r="O404" s="333">
        <v>320</v>
      </c>
      <c r="P404" s="334">
        <v>1</v>
      </c>
      <c r="Q404" s="334">
        <v>1.01</v>
      </c>
      <c r="R404" s="335">
        <v>1</v>
      </c>
      <c r="S404" s="334">
        <v>0.97</v>
      </c>
      <c r="T404" s="334">
        <v>0.92</v>
      </c>
      <c r="V404" s="333">
        <v>320</v>
      </c>
      <c r="W404" s="334">
        <v>1</v>
      </c>
      <c r="X404" s="334">
        <v>1.03</v>
      </c>
      <c r="Y404" s="335">
        <v>1.05</v>
      </c>
      <c r="Z404" s="334">
        <v>1.04</v>
      </c>
      <c r="AA404" s="334">
        <v>1</v>
      </c>
      <c r="AC404" s="333">
        <v>320</v>
      </c>
      <c r="AD404" s="334">
        <v>1</v>
      </c>
      <c r="AE404" s="334">
        <v>1.07</v>
      </c>
      <c r="AF404" s="335">
        <v>1.1200000000000001</v>
      </c>
      <c r="AG404" s="334">
        <v>1.1399999999999999</v>
      </c>
      <c r="AH404" s="334">
        <v>1.1299999999999999</v>
      </c>
      <c r="AJ404" s="333">
        <v>320</v>
      </c>
      <c r="AK404" s="334">
        <v>1</v>
      </c>
      <c r="AL404" s="334">
        <v>1.1100000000000001</v>
      </c>
      <c r="AM404" s="335">
        <v>1.19</v>
      </c>
      <c r="AN404" s="334">
        <v>1.25</v>
      </c>
      <c r="AO404" s="334">
        <v>1.29</v>
      </c>
      <c r="AQ404" s="333">
        <v>320</v>
      </c>
      <c r="AR404" s="334">
        <v>1</v>
      </c>
      <c r="AS404" s="334">
        <v>1.17</v>
      </c>
      <c r="AT404" s="335">
        <v>1.3</v>
      </c>
      <c r="AU404" s="334">
        <v>1.41</v>
      </c>
      <c r="AV404" s="334">
        <v>1.48</v>
      </c>
      <c r="AX404" s="333">
        <v>320</v>
      </c>
      <c r="AY404" s="334">
        <v>1</v>
      </c>
      <c r="AZ404" s="334">
        <v>1.18</v>
      </c>
      <c r="BA404" s="335">
        <v>1.34</v>
      </c>
      <c r="BB404" s="334">
        <v>1.46</v>
      </c>
      <c r="BC404" s="334">
        <v>1.56</v>
      </c>
      <c r="BE404" s="333">
        <v>320</v>
      </c>
      <c r="BF404" s="334">
        <v>1</v>
      </c>
      <c r="BG404" s="334">
        <v>1.18</v>
      </c>
      <c r="BH404" s="335">
        <v>1.34</v>
      </c>
      <c r="BI404" s="334">
        <v>1.45</v>
      </c>
      <c r="BJ404" s="334">
        <v>1.54</v>
      </c>
      <c r="BL404" s="333">
        <v>320</v>
      </c>
      <c r="BM404" s="334">
        <v>1</v>
      </c>
      <c r="BN404" s="334">
        <v>1.1299999999999999</v>
      </c>
      <c r="BO404" s="335">
        <v>1.24</v>
      </c>
      <c r="BP404" s="334">
        <v>1.32</v>
      </c>
      <c r="BQ404" s="334">
        <v>1.37</v>
      </c>
      <c r="BS404" s="333">
        <v>320</v>
      </c>
      <c r="BT404" s="334">
        <v>1</v>
      </c>
      <c r="BU404" s="334">
        <v>1.0900000000000001</v>
      </c>
      <c r="BV404" s="335">
        <v>1.1499999999999999</v>
      </c>
      <c r="BW404" s="334">
        <v>1.18</v>
      </c>
      <c r="BX404" s="334">
        <v>1.2</v>
      </c>
      <c r="BZ404" s="333">
        <v>320</v>
      </c>
      <c r="CA404" s="334">
        <v>1</v>
      </c>
      <c r="CB404" s="334">
        <v>1.04</v>
      </c>
      <c r="CC404" s="335">
        <v>1.07</v>
      </c>
      <c r="CD404" s="334">
        <v>1.07</v>
      </c>
      <c r="CE404" s="334">
        <v>1.05</v>
      </c>
      <c r="CG404" s="333">
        <v>320</v>
      </c>
      <c r="CH404" s="334">
        <v>1</v>
      </c>
      <c r="CI404" s="334">
        <v>1.02</v>
      </c>
      <c r="CJ404" s="335">
        <v>1.02</v>
      </c>
      <c r="CK404" s="334">
        <v>1</v>
      </c>
      <c r="CL404" s="334">
        <v>0.96</v>
      </c>
      <c r="CN404" s="333">
        <v>320</v>
      </c>
      <c r="CO404" s="334">
        <v>1</v>
      </c>
      <c r="CP404" s="334">
        <v>1.01</v>
      </c>
      <c r="CQ404" s="335">
        <v>1</v>
      </c>
      <c r="CR404" s="334">
        <v>0.96</v>
      </c>
      <c r="CS404" s="334">
        <v>0.91</v>
      </c>
    </row>
    <row r="405" spans="3:97" x14ac:dyDescent="0.25">
      <c r="C405" s="333">
        <v>70</v>
      </c>
      <c r="D405" s="334">
        <v>0.87</v>
      </c>
      <c r="E405" s="334">
        <v>0.89</v>
      </c>
      <c r="F405" s="334">
        <v>0.9</v>
      </c>
      <c r="G405" s="335">
        <v>0.89</v>
      </c>
      <c r="H405" s="334">
        <v>0.86</v>
      </c>
      <c r="I405" s="334">
        <v>0.82</v>
      </c>
      <c r="J405" s="334">
        <v>0.77</v>
      </c>
      <c r="K405" s="334">
        <v>0.71</v>
      </c>
      <c r="L405" s="334">
        <v>0.64</v>
      </c>
      <c r="M405" s="334">
        <v>0.56999999999999995</v>
      </c>
      <c r="O405" s="333">
        <v>330</v>
      </c>
      <c r="P405" s="334">
        <v>1</v>
      </c>
      <c r="Q405" s="334">
        <v>1.01</v>
      </c>
      <c r="R405" s="335">
        <v>1</v>
      </c>
      <c r="S405" s="334">
        <v>0.97</v>
      </c>
      <c r="T405" s="334">
        <v>0.92</v>
      </c>
      <c r="V405" s="333">
        <v>330</v>
      </c>
      <c r="W405" s="334">
        <v>1</v>
      </c>
      <c r="X405" s="334">
        <v>1.04</v>
      </c>
      <c r="Y405" s="335">
        <v>1.05</v>
      </c>
      <c r="Z405" s="334">
        <v>1.04</v>
      </c>
      <c r="AA405" s="334">
        <v>1.01</v>
      </c>
      <c r="AC405" s="333">
        <v>330</v>
      </c>
      <c r="AD405" s="334">
        <v>1</v>
      </c>
      <c r="AE405" s="334">
        <v>1.08</v>
      </c>
      <c r="AF405" s="335">
        <v>1.1299999999999999</v>
      </c>
      <c r="AG405" s="334">
        <v>1.1499999999999999</v>
      </c>
      <c r="AH405" s="334">
        <v>1.1499999999999999</v>
      </c>
      <c r="AJ405" s="333">
        <v>330</v>
      </c>
      <c r="AK405" s="334">
        <v>1</v>
      </c>
      <c r="AL405" s="334">
        <v>1.1200000000000001</v>
      </c>
      <c r="AM405" s="335">
        <v>1.22</v>
      </c>
      <c r="AN405" s="334">
        <v>1.29</v>
      </c>
      <c r="AO405" s="334">
        <v>1.33</v>
      </c>
      <c r="AQ405" s="333">
        <v>330</v>
      </c>
      <c r="AR405" s="334">
        <v>1</v>
      </c>
      <c r="AS405" s="334">
        <v>1.18</v>
      </c>
      <c r="AT405" s="335">
        <v>1.34</v>
      </c>
      <c r="AU405" s="334">
        <v>1.46</v>
      </c>
      <c r="AV405" s="334">
        <v>1.55</v>
      </c>
      <c r="AX405" s="333">
        <v>330</v>
      </c>
      <c r="AY405" s="334">
        <v>1</v>
      </c>
      <c r="AZ405" s="334">
        <v>1.21</v>
      </c>
      <c r="BA405" s="335">
        <v>1.38</v>
      </c>
      <c r="BB405" s="334">
        <v>1.54</v>
      </c>
      <c r="BC405" s="334">
        <v>1.64</v>
      </c>
      <c r="BE405" s="333">
        <v>330</v>
      </c>
      <c r="BF405" s="334">
        <v>1</v>
      </c>
      <c r="BG405" s="334">
        <v>1.2</v>
      </c>
      <c r="BH405" s="335">
        <v>1.38</v>
      </c>
      <c r="BI405" s="334">
        <v>1.52</v>
      </c>
      <c r="BJ405" s="334">
        <v>1.62</v>
      </c>
      <c r="BL405" s="333">
        <v>330</v>
      </c>
      <c r="BM405" s="334">
        <v>1</v>
      </c>
      <c r="BN405" s="334">
        <v>1.1499999999999999</v>
      </c>
      <c r="BO405" s="335">
        <v>1.27</v>
      </c>
      <c r="BP405" s="334">
        <v>1.36</v>
      </c>
      <c r="BQ405" s="334">
        <v>1.43</v>
      </c>
      <c r="BS405" s="333">
        <v>330</v>
      </c>
      <c r="BT405" s="334">
        <v>1</v>
      </c>
      <c r="BU405" s="334">
        <v>1.1000000000000001</v>
      </c>
      <c r="BV405" s="335">
        <v>1.17</v>
      </c>
      <c r="BW405" s="334">
        <v>1.21</v>
      </c>
      <c r="BX405" s="334">
        <v>1.22</v>
      </c>
      <c r="BZ405" s="333">
        <v>330</v>
      </c>
      <c r="CA405" s="334">
        <v>1</v>
      </c>
      <c r="CB405" s="334">
        <v>1.05</v>
      </c>
      <c r="CC405" s="335">
        <v>1.07</v>
      </c>
      <c r="CD405" s="334">
        <v>1.08</v>
      </c>
      <c r="CE405" s="334">
        <v>1.05</v>
      </c>
      <c r="CG405" s="333">
        <v>330</v>
      </c>
      <c r="CH405" s="334">
        <v>1</v>
      </c>
      <c r="CI405" s="334">
        <v>1.02</v>
      </c>
      <c r="CJ405" s="335">
        <v>1.01</v>
      </c>
      <c r="CK405" s="334">
        <v>0.99</v>
      </c>
      <c r="CL405" s="334">
        <v>0.95</v>
      </c>
      <c r="CN405" s="333">
        <v>330</v>
      </c>
      <c r="CO405" s="334">
        <v>1</v>
      </c>
      <c r="CP405" s="334">
        <v>1.01</v>
      </c>
      <c r="CQ405" s="335">
        <v>0.99</v>
      </c>
      <c r="CR405" s="334">
        <v>0.96</v>
      </c>
      <c r="CS405" s="334">
        <v>0.9</v>
      </c>
    </row>
    <row r="406" spans="3:97" x14ac:dyDescent="0.25">
      <c r="C406" s="333">
        <v>80</v>
      </c>
      <c r="D406" s="334">
        <v>0.87</v>
      </c>
      <c r="E406" s="334">
        <v>0.88</v>
      </c>
      <c r="F406" s="334">
        <v>0.88</v>
      </c>
      <c r="G406" s="335">
        <v>0.86</v>
      </c>
      <c r="H406" s="334">
        <v>0.82</v>
      </c>
      <c r="I406" s="334">
        <v>0.78</v>
      </c>
      <c r="J406" s="334">
        <v>0.73</v>
      </c>
      <c r="K406" s="334">
        <v>0.68</v>
      </c>
      <c r="L406" s="334">
        <v>0.61</v>
      </c>
      <c r="M406" s="334">
        <v>0.55000000000000004</v>
      </c>
      <c r="O406" s="333">
        <v>340</v>
      </c>
      <c r="P406" s="334">
        <v>1</v>
      </c>
      <c r="Q406" s="334">
        <v>1.01</v>
      </c>
      <c r="R406" s="335">
        <v>1</v>
      </c>
      <c r="S406" s="334">
        <v>0.97</v>
      </c>
      <c r="T406" s="334">
        <v>0.91</v>
      </c>
      <c r="V406" s="333">
        <v>340</v>
      </c>
      <c r="W406" s="334">
        <v>1</v>
      </c>
      <c r="X406" s="334">
        <v>1.04</v>
      </c>
      <c r="Y406" s="335">
        <v>1.05</v>
      </c>
      <c r="Z406" s="334">
        <v>1.04</v>
      </c>
      <c r="AA406" s="334">
        <v>1.01</v>
      </c>
      <c r="AC406" s="333">
        <v>340</v>
      </c>
      <c r="AD406" s="334">
        <v>1</v>
      </c>
      <c r="AE406" s="334">
        <v>1.08</v>
      </c>
      <c r="AF406" s="335">
        <v>1.1399999999999999</v>
      </c>
      <c r="AG406" s="334">
        <v>1.1599999999999999</v>
      </c>
      <c r="AH406" s="334">
        <v>1.1599999999999999</v>
      </c>
      <c r="AJ406" s="333">
        <v>340</v>
      </c>
      <c r="AK406" s="334">
        <v>1</v>
      </c>
      <c r="AL406" s="334">
        <v>1.1299999999999999</v>
      </c>
      <c r="AM406" s="335">
        <v>1.24</v>
      </c>
      <c r="AN406" s="334">
        <v>1.32</v>
      </c>
      <c r="AO406" s="334">
        <v>1.36</v>
      </c>
      <c r="AQ406" s="333">
        <v>340</v>
      </c>
      <c r="AR406" s="334">
        <v>1</v>
      </c>
      <c r="AS406" s="334">
        <v>1.2</v>
      </c>
      <c r="AT406" s="335">
        <v>1.37</v>
      </c>
      <c r="AU406" s="334">
        <v>1.51</v>
      </c>
      <c r="AV406" s="334">
        <v>1.61</v>
      </c>
      <c r="AX406" s="333">
        <v>340</v>
      </c>
      <c r="AY406" s="334">
        <v>1</v>
      </c>
      <c r="AZ406" s="334">
        <v>1.22</v>
      </c>
      <c r="BA406" s="335">
        <v>1.42</v>
      </c>
      <c r="BB406" s="334">
        <v>1.59</v>
      </c>
      <c r="BC406" s="334">
        <v>1.7</v>
      </c>
      <c r="BE406" s="333">
        <v>340</v>
      </c>
      <c r="BF406" s="334">
        <v>1</v>
      </c>
      <c r="BG406" s="334">
        <v>1.22</v>
      </c>
      <c r="BH406" s="335">
        <v>1.41</v>
      </c>
      <c r="BI406" s="334">
        <v>1.56</v>
      </c>
      <c r="BJ406" s="334">
        <v>1.67</v>
      </c>
      <c r="BL406" s="333">
        <v>340</v>
      </c>
      <c r="BM406" s="334">
        <v>1</v>
      </c>
      <c r="BN406" s="334">
        <v>1.1599999999999999</v>
      </c>
      <c r="BO406" s="335">
        <v>1.3</v>
      </c>
      <c r="BP406" s="334">
        <v>1.41</v>
      </c>
      <c r="BQ406" s="334">
        <v>1.47</v>
      </c>
      <c r="BS406" s="333">
        <v>340</v>
      </c>
      <c r="BT406" s="334">
        <v>1</v>
      </c>
      <c r="BU406" s="334">
        <v>1.1000000000000001</v>
      </c>
      <c r="BV406" s="335">
        <v>1.18</v>
      </c>
      <c r="BW406" s="334">
        <v>1.23</v>
      </c>
      <c r="BX406" s="334">
        <v>1.24</v>
      </c>
      <c r="BZ406" s="333">
        <v>340</v>
      </c>
      <c r="CA406" s="334">
        <v>1</v>
      </c>
      <c r="CB406" s="334">
        <v>1.05</v>
      </c>
      <c r="CC406" s="335">
        <v>1.08</v>
      </c>
      <c r="CD406" s="334">
        <v>1.08</v>
      </c>
      <c r="CE406" s="334">
        <v>1.06</v>
      </c>
      <c r="CG406" s="333">
        <v>340</v>
      </c>
      <c r="CH406" s="334">
        <v>1</v>
      </c>
      <c r="CI406" s="334">
        <v>1.02</v>
      </c>
      <c r="CJ406" s="335">
        <v>1.01</v>
      </c>
      <c r="CK406" s="334">
        <v>0.99</v>
      </c>
      <c r="CL406" s="334">
        <v>0.94</v>
      </c>
      <c r="CN406" s="333">
        <v>340</v>
      </c>
      <c r="CO406" s="334">
        <v>1</v>
      </c>
      <c r="CP406" s="334">
        <v>1</v>
      </c>
      <c r="CQ406" s="335">
        <v>0.99</v>
      </c>
      <c r="CR406" s="334">
        <v>0.95</v>
      </c>
      <c r="CS406" s="334">
        <v>0.89</v>
      </c>
    </row>
    <row r="407" spans="3:97" x14ac:dyDescent="0.25">
      <c r="C407" s="333">
        <v>90</v>
      </c>
      <c r="D407" s="334">
        <v>0.87</v>
      </c>
      <c r="E407" s="334">
        <v>0.87</v>
      </c>
      <c r="F407" s="334">
        <v>0.86</v>
      </c>
      <c r="G407" s="335">
        <v>0.82</v>
      </c>
      <c r="H407" s="334">
        <v>0.79</v>
      </c>
      <c r="I407" s="334">
        <v>0.74</v>
      </c>
      <c r="J407" s="334">
        <v>0.69</v>
      </c>
      <c r="K407" s="334">
        <v>0.64</v>
      </c>
      <c r="L407" s="334">
        <v>0.57999999999999996</v>
      </c>
      <c r="M407" s="334">
        <v>0.52</v>
      </c>
      <c r="O407" s="333">
        <v>350</v>
      </c>
      <c r="P407" s="334">
        <v>1</v>
      </c>
      <c r="Q407" s="334">
        <v>1.01</v>
      </c>
      <c r="R407" s="335">
        <v>1</v>
      </c>
      <c r="S407" s="334">
        <v>0.96</v>
      </c>
      <c r="T407" s="334">
        <v>0.91</v>
      </c>
      <c r="V407" s="333">
        <v>350</v>
      </c>
      <c r="W407" s="334">
        <v>1</v>
      </c>
      <c r="X407" s="334">
        <v>1.04</v>
      </c>
      <c r="Y407" s="335">
        <v>1.05</v>
      </c>
      <c r="Z407" s="334">
        <v>1.04</v>
      </c>
      <c r="AA407" s="334">
        <v>1.01</v>
      </c>
      <c r="AC407" s="333">
        <v>350</v>
      </c>
      <c r="AD407" s="334">
        <v>1</v>
      </c>
      <c r="AE407" s="334">
        <v>1.08</v>
      </c>
      <c r="AF407" s="335">
        <v>1.1399999999999999</v>
      </c>
      <c r="AG407" s="334">
        <v>1.17</v>
      </c>
      <c r="AH407" s="334">
        <v>1.17</v>
      </c>
      <c r="AJ407" s="333">
        <v>350</v>
      </c>
      <c r="AK407" s="334">
        <v>1</v>
      </c>
      <c r="AL407" s="334">
        <v>1.1399999999999999</v>
      </c>
      <c r="AM407" s="335">
        <v>1.25</v>
      </c>
      <c r="AN407" s="334">
        <v>1.33</v>
      </c>
      <c r="AO407" s="334">
        <v>1.38</v>
      </c>
      <c r="AQ407" s="333">
        <v>350</v>
      </c>
      <c r="AR407" s="334">
        <v>1</v>
      </c>
      <c r="AS407" s="334">
        <v>1.21</v>
      </c>
      <c r="AT407" s="335">
        <v>1.39</v>
      </c>
      <c r="AU407" s="334">
        <v>1.54</v>
      </c>
      <c r="AV407" s="334">
        <v>1.64</v>
      </c>
      <c r="AX407" s="333">
        <v>350</v>
      </c>
      <c r="AY407" s="334">
        <v>1</v>
      </c>
      <c r="AZ407" s="334">
        <v>1.23</v>
      </c>
      <c r="BA407" s="335">
        <v>1.44</v>
      </c>
      <c r="BB407" s="334">
        <v>1.62</v>
      </c>
      <c r="BC407" s="334">
        <v>1.74</v>
      </c>
      <c r="BE407" s="333">
        <v>350</v>
      </c>
      <c r="BF407" s="334">
        <v>1</v>
      </c>
      <c r="BG407" s="334">
        <v>1.23</v>
      </c>
      <c r="BH407" s="335">
        <v>1.43</v>
      </c>
      <c r="BI407" s="334">
        <v>1.59</v>
      </c>
      <c r="BJ407" s="334">
        <v>1.71</v>
      </c>
      <c r="BL407" s="333">
        <v>350</v>
      </c>
      <c r="BM407" s="334">
        <v>1</v>
      </c>
      <c r="BN407" s="334">
        <v>1.17</v>
      </c>
      <c r="BO407" s="335">
        <v>1.31</v>
      </c>
      <c r="BP407" s="334">
        <v>1.43</v>
      </c>
      <c r="BQ407" s="334">
        <v>1.5</v>
      </c>
      <c r="BS407" s="333">
        <v>350</v>
      </c>
      <c r="BT407" s="334">
        <v>1</v>
      </c>
      <c r="BU407" s="334">
        <v>1.1100000000000001</v>
      </c>
      <c r="BV407" s="335">
        <v>1.19</v>
      </c>
      <c r="BW407" s="334">
        <v>1.24</v>
      </c>
      <c r="BX407" s="334">
        <v>1.26</v>
      </c>
      <c r="BZ407" s="333">
        <v>350</v>
      </c>
      <c r="CA407" s="334">
        <v>1</v>
      </c>
      <c r="CB407" s="334">
        <v>1.05</v>
      </c>
      <c r="CC407" s="335">
        <v>1.08</v>
      </c>
      <c r="CD407" s="334">
        <v>1.08</v>
      </c>
      <c r="CE407" s="334">
        <v>1.06</v>
      </c>
      <c r="CG407" s="333">
        <v>350</v>
      </c>
      <c r="CH407" s="334">
        <v>1</v>
      </c>
      <c r="CI407" s="334">
        <v>1.02</v>
      </c>
      <c r="CJ407" s="335">
        <v>1.01</v>
      </c>
      <c r="CK407" s="334">
        <v>0.99</v>
      </c>
      <c r="CL407" s="334">
        <v>0.94</v>
      </c>
      <c r="CN407" s="333">
        <v>350</v>
      </c>
      <c r="CO407" s="334">
        <v>1</v>
      </c>
      <c r="CP407" s="334">
        <v>1</v>
      </c>
      <c r="CQ407" s="335">
        <v>0.98</v>
      </c>
      <c r="CR407" s="334">
        <v>0.94</v>
      </c>
      <c r="CS407" s="334">
        <v>0.88</v>
      </c>
    </row>
    <row r="408" spans="3:97" x14ac:dyDescent="0.25">
      <c r="C408" s="333">
        <v>100</v>
      </c>
      <c r="D408" s="334">
        <v>0.87</v>
      </c>
      <c r="E408" s="334">
        <v>0.86</v>
      </c>
      <c r="F408" s="334">
        <v>0.84</v>
      </c>
      <c r="G408" s="335">
        <v>0.8</v>
      </c>
      <c r="H408" s="334">
        <v>0.75</v>
      </c>
      <c r="I408" s="334">
        <v>0.7</v>
      </c>
      <c r="J408" s="334">
        <v>0.65</v>
      </c>
      <c r="K408" s="334">
        <v>0.6</v>
      </c>
      <c r="L408" s="334">
        <v>0.54</v>
      </c>
      <c r="M408" s="334">
        <v>0.48</v>
      </c>
      <c r="O408" s="333">
        <v>0</v>
      </c>
      <c r="P408" s="334">
        <v>1</v>
      </c>
      <c r="Q408" s="334">
        <v>1.01</v>
      </c>
      <c r="R408" s="335">
        <v>1</v>
      </c>
      <c r="S408" s="334">
        <v>0.96</v>
      </c>
      <c r="T408" s="334">
        <v>0.9</v>
      </c>
      <c r="V408" s="333">
        <v>0</v>
      </c>
      <c r="W408" s="334">
        <v>1</v>
      </c>
      <c r="X408" s="334">
        <v>1.04</v>
      </c>
      <c r="Y408" s="335">
        <v>1.05</v>
      </c>
      <c r="Z408" s="334">
        <v>1.04</v>
      </c>
      <c r="AA408" s="334">
        <v>1</v>
      </c>
      <c r="AC408" s="333">
        <v>0</v>
      </c>
      <c r="AD408" s="334">
        <v>1</v>
      </c>
      <c r="AE408" s="334">
        <v>1.08</v>
      </c>
      <c r="AF408" s="335">
        <v>1.1399999999999999</v>
      </c>
      <c r="AG408" s="334">
        <v>1.17</v>
      </c>
      <c r="AH408" s="334">
        <v>1.17</v>
      </c>
      <c r="AJ408" s="333">
        <v>0</v>
      </c>
      <c r="AK408" s="334">
        <v>1</v>
      </c>
      <c r="AL408" s="334">
        <v>1.1399999999999999</v>
      </c>
      <c r="AM408" s="335">
        <v>1.25</v>
      </c>
      <c r="AN408" s="334">
        <v>1.34</v>
      </c>
      <c r="AO408" s="334">
        <v>1.39</v>
      </c>
      <c r="AQ408" s="333">
        <v>0</v>
      </c>
      <c r="AR408" s="334">
        <v>1</v>
      </c>
      <c r="AS408" s="334">
        <v>1.21</v>
      </c>
      <c r="AT408" s="335">
        <v>1.39</v>
      </c>
      <c r="AU408" s="334">
        <v>1.55</v>
      </c>
      <c r="AV408" s="334">
        <v>1.65</v>
      </c>
      <c r="AX408" s="333">
        <v>0</v>
      </c>
      <c r="AY408" s="334">
        <v>1</v>
      </c>
      <c r="AZ408" s="334">
        <v>1.24</v>
      </c>
      <c r="BA408" s="335">
        <v>1.44</v>
      </c>
      <c r="BB408" s="334">
        <v>1.63</v>
      </c>
      <c r="BC408" s="334">
        <v>1.76</v>
      </c>
      <c r="BE408" s="333">
        <v>0</v>
      </c>
      <c r="BF408" s="334">
        <v>1</v>
      </c>
      <c r="BG408" s="334">
        <v>1.24</v>
      </c>
      <c r="BH408" s="335">
        <v>1.44</v>
      </c>
      <c r="BI408" s="334">
        <v>1.6</v>
      </c>
      <c r="BJ408" s="334">
        <v>1.73</v>
      </c>
      <c r="BL408" s="333">
        <v>0</v>
      </c>
      <c r="BM408" s="334">
        <v>1</v>
      </c>
      <c r="BN408" s="334">
        <v>1.17</v>
      </c>
      <c r="BO408" s="335">
        <v>1.32</v>
      </c>
      <c r="BP408" s="334">
        <v>1.43</v>
      </c>
      <c r="BQ408" s="334">
        <v>1.5</v>
      </c>
      <c r="BS408" s="333">
        <v>0</v>
      </c>
      <c r="BT408" s="334">
        <v>1</v>
      </c>
      <c r="BU408" s="334">
        <v>1.1100000000000001</v>
      </c>
      <c r="BV408" s="335">
        <v>1.19</v>
      </c>
      <c r="BW408" s="334">
        <v>1.24</v>
      </c>
      <c r="BX408" s="334">
        <v>1.26</v>
      </c>
      <c r="BZ408" s="333">
        <v>0</v>
      </c>
      <c r="CA408" s="334">
        <v>1</v>
      </c>
      <c r="CB408" s="334">
        <v>1.05</v>
      </c>
      <c r="CC408" s="335">
        <v>1.08</v>
      </c>
      <c r="CD408" s="334">
        <v>1.08</v>
      </c>
      <c r="CE408" s="334">
        <v>1.06</v>
      </c>
      <c r="CG408" s="333">
        <v>0</v>
      </c>
      <c r="CH408" s="334">
        <v>1</v>
      </c>
      <c r="CI408" s="334">
        <v>1.02</v>
      </c>
      <c r="CJ408" s="335">
        <v>1.01</v>
      </c>
      <c r="CK408" s="334">
        <v>0.99</v>
      </c>
      <c r="CL408" s="334">
        <v>0.93</v>
      </c>
      <c r="CN408" s="333">
        <v>0</v>
      </c>
      <c r="CO408" s="334">
        <v>1</v>
      </c>
      <c r="CP408" s="334">
        <v>1</v>
      </c>
      <c r="CQ408" s="335">
        <v>0.98</v>
      </c>
      <c r="CR408" s="334">
        <v>0.94</v>
      </c>
      <c r="CS408" s="334">
        <v>0.88</v>
      </c>
    </row>
    <row r="409" spans="3:97" x14ac:dyDescent="0.25">
      <c r="C409" s="333">
        <v>110</v>
      </c>
      <c r="D409" s="334">
        <v>0.87</v>
      </c>
      <c r="E409" s="334">
        <v>0.85</v>
      </c>
      <c r="F409" s="334">
        <v>0.81</v>
      </c>
      <c r="G409" s="335">
        <v>0.77</v>
      </c>
      <c r="H409" s="334">
        <v>0.71</v>
      </c>
      <c r="I409" s="334">
        <v>0.66</v>
      </c>
      <c r="J409" s="334">
        <v>0.61</v>
      </c>
      <c r="K409" s="334">
        <v>0.55000000000000004</v>
      </c>
      <c r="L409" s="334">
        <v>0.5</v>
      </c>
      <c r="M409" s="334">
        <v>0.44</v>
      </c>
      <c r="O409" s="333">
        <v>10</v>
      </c>
      <c r="P409" s="334">
        <v>1</v>
      </c>
      <c r="Q409" s="334">
        <v>1.01</v>
      </c>
      <c r="R409" s="335">
        <v>1</v>
      </c>
      <c r="S409" s="334">
        <v>0.96</v>
      </c>
      <c r="T409" s="334">
        <v>0.91</v>
      </c>
      <c r="V409" s="333">
        <v>10</v>
      </c>
      <c r="W409" s="334">
        <v>1</v>
      </c>
      <c r="X409" s="334">
        <v>1.04</v>
      </c>
      <c r="Y409" s="335">
        <v>1.05</v>
      </c>
      <c r="Z409" s="334">
        <v>1.04</v>
      </c>
      <c r="AA409" s="334">
        <v>1</v>
      </c>
      <c r="AC409" s="333">
        <v>10</v>
      </c>
      <c r="AD409" s="334">
        <v>1</v>
      </c>
      <c r="AE409" s="334">
        <v>1.08</v>
      </c>
      <c r="AF409" s="335">
        <v>1.1399999999999999</v>
      </c>
      <c r="AG409" s="334">
        <v>1.1599999999999999</v>
      </c>
      <c r="AH409" s="334">
        <v>1.1599999999999999</v>
      </c>
      <c r="AJ409" s="333">
        <v>10</v>
      </c>
      <c r="AK409" s="334">
        <v>1</v>
      </c>
      <c r="AL409" s="334">
        <v>1.1399999999999999</v>
      </c>
      <c r="AM409" s="335">
        <v>1.25</v>
      </c>
      <c r="AN409" s="334">
        <v>1.33</v>
      </c>
      <c r="AO409" s="334">
        <v>1.38</v>
      </c>
      <c r="AQ409" s="333">
        <v>10</v>
      </c>
      <c r="AR409" s="334">
        <v>1</v>
      </c>
      <c r="AS409" s="334">
        <v>1.21</v>
      </c>
      <c r="AT409" s="335">
        <v>1.39</v>
      </c>
      <c r="AU409" s="334">
        <v>1.54</v>
      </c>
      <c r="AV409" s="334">
        <v>1.64</v>
      </c>
      <c r="AX409" s="333">
        <v>10</v>
      </c>
      <c r="AY409" s="334">
        <v>1</v>
      </c>
      <c r="AZ409" s="334">
        <v>1.23</v>
      </c>
      <c r="BA409" s="335">
        <v>1.44</v>
      </c>
      <c r="BB409" s="334">
        <v>1.62</v>
      </c>
      <c r="BC409" s="334">
        <v>1.75</v>
      </c>
      <c r="BE409" s="333">
        <v>10</v>
      </c>
      <c r="BF409" s="334">
        <v>1</v>
      </c>
      <c r="BG409" s="334">
        <v>1.23</v>
      </c>
      <c r="BH409" s="335">
        <v>1.43</v>
      </c>
      <c r="BI409" s="334">
        <v>1.59</v>
      </c>
      <c r="BJ409" s="334">
        <v>1.71</v>
      </c>
      <c r="BL409" s="333">
        <v>10</v>
      </c>
      <c r="BM409" s="334">
        <v>1</v>
      </c>
      <c r="BN409" s="334">
        <v>1.17</v>
      </c>
      <c r="BO409" s="335">
        <v>1.31</v>
      </c>
      <c r="BP409" s="334">
        <v>1.43</v>
      </c>
      <c r="BQ409" s="334">
        <v>1.5</v>
      </c>
      <c r="BS409" s="333">
        <v>10</v>
      </c>
      <c r="BT409" s="334">
        <v>1</v>
      </c>
      <c r="BU409" s="334">
        <v>1.1000000000000001</v>
      </c>
      <c r="BV409" s="335">
        <v>1.18</v>
      </c>
      <c r="BW409" s="334">
        <v>1.23</v>
      </c>
      <c r="BX409" s="334">
        <v>1.26</v>
      </c>
      <c r="BZ409" s="333">
        <v>10</v>
      </c>
      <c r="CA409" s="334">
        <v>1</v>
      </c>
      <c r="CB409" s="334">
        <v>1.05</v>
      </c>
      <c r="CC409" s="335">
        <v>1.08</v>
      </c>
      <c r="CD409" s="334">
        <v>1.08</v>
      </c>
      <c r="CE409" s="334">
        <v>1.05</v>
      </c>
      <c r="CG409" s="333">
        <v>10</v>
      </c>
      <c r="CH409" s="334">
        <v>1</v>
      </c>
      <c r="CI409" s="334">
        <v>1.02</v>
      </c>
      <c r="CJ409" s="335">
        <v>1.01</v>
      </c>
      <c r="CK409" s="334">
        <v>0.98</v>
      </c>
      <c r="CL409" s="334">
        <v>0.93</v>
      </c>
      <c r="CN409" s="333">
        <v>10</v>
      </c>
      <c r="CO409" s="334">
        <v>1</v>
      </c>
      <c r="CP409" s="334">
        <v>1</v>
      </c>
      <c r="CQ409" s="335">
        <v>0.98</v>
      </c>
      <c r="CR409" s="334">
        <v>0.94</v>
      </c>
      <c r="CS409" s="334">
        <v>0.88</v>
      </c>
    </row>
    <row r="410" spans="3:97" x14ac:dyDescent="0.25">
      <c r="C410" s="333">
        <v>120</v>
      </c>
      <c r="D410" s="334">
        <v>0.87</v>
      </c>
      <c r="E410" s="334">
        <v>0.84</v>
      </c>
      <c r="F410" s="334">
        <v>0.79</v>
      </c>
      <c r="G410" s="335">
        <v>0.73</v>
      </c>
      <c r="H410" s="334">
        <v>0.68</v>
      </c>
      <c r="I410" s="334">
        <v>0.62</v>
      </c>
      <c r="J410" s="334">
        <v>0.56000000000000005</v>
      </c>
      <c r="K410" s="334">
        <v>0.51</v>
      </c>
      <c r="L410" s="334">
        <v>0.45</v>
      </c>
      <c r="M410" s="334">
        <v>0.4</v>
      </c>
      <c r="O410" s="333">
        <v>20</v>
      </c>
      <c r="P410" s="334">
        <v>1</v>
      </c>
      <c r="Q410" s="334">
        <v>1.01</v>
      </c>
      <c r="R410" s="335">
        <v>1</v>
      </c>
      <c r="S410" s="334">
        <v>0.96</v>
      </c>
      <c r="T410" s="334">
        <v>0.91</v>
      </c>
      <c r="V410" s="333">
        <v>20</v>
      </c>
      <c r="W410" s="334">
        <v>1</v>
      </c>
      <c r="X410" s="334">
        <v>1.04</v>
      </c>
      <c r="Y410" s="335">
        <v>1.05</v>
      </c>
      <c r="Z410" s="334">
        <v>1.04</v>
      </c>
      <c r="AA410" s="334">
        <v>1</v>
      </c>
      <c r="AC410" s="333">
        <v>20</v>
      </c>
      <c r="AD410" s="334">
        <v>1</v>
      </c>
      <c r="AE410" s="334">
        <v>1.08</v>
      </c>
      <c r="AF410" s="335">
        <v>1.1299999999999999</v>
      </c>
      <c r="AG410" s="334">
        <v>1.1499999999999999</v>
      </c>
      <c r="AH410" s="334">
        <v>1.1499999999999999</v>
      </c>
      <c r="AJ410" s="333">
        <v>20</v>
      </c>
      <c r="AK410" s="334">
        <v>1</v>
      </c>
      <c r="AL410" s="334">
        <v>1.1299999999999999</v>
      </c>
      <c r="AM410" s="335">
        <v>1.24</v>
      </c>
      <c r="AN410" s="334">
        <v>1.31</v>
      </c>
      <c r="AO410" s="334">
        <v>1.36</v>
      </c>
      <c r="AQ410" s="333">
        <v>20</v>
      </c>
      <c r="AR410" s="334">
        <v>1</v>
      </c>
      <c r="AS410" s="334">
        <v>1.2</v>
      </c>
      <c r="AT410" s="335">
        <v>1.37</v>
      </c>
      <c r="AU410" s="334">
        <v>1.5</v>
      </c>
      <c r="AV410" s="334">
        <v>1.61</v>
      </c>
      <c r="AX410" s="333">
        <v>20</v>
      </c>
      <c r="AY410" s="334">
        <v>1</v>
      </c>
      <c r="AZ410" s="334">
        <v>1.22</v>
      </c>
      <c r="BA410" s="335">
        <v>1.42</v>
      </c>
      <c r="BB410" s="334">
        <v>1.59</v>
      </c>
      <c r="BC410" s="334">
        <v>1.71</v>
      </c>
      <c r="BE410" s="333">
        <v>20</v>
      </c>
      <c r="BF410" s="334">
        <v>1</v>
      </c>
      <c r="BG410" s="334">
        <v>1.22</v>
      </c>
      <c r="BH410" s="335">
        <v>1.41</v>
      </c>
      <c r="BI410" s="334">
        <v>1.56</v>
      </c>
      <c r="BJ410" s="334">
        <v>1.67</v>
      </c>
      <c r="BL410" s="333">
        <v>20</v>
      </c>
      <c r="BM410" s="334">
        <v>1</v>
      </c>
      <c r="BN410" s="334">
        <v>1.1599999999999999</v>
      </c>
      <c r="BO410" s="335">
        <v>1.3</v>
      </c>
      <c r="BP410" s="334">
        <v>1.4</v>
      </c>
      <c r="BQ410" s="334">
        <v>1.47</v>
      </c>
      <c r="BS410" s="333">
        <v>20</v>
      </c>
      <c r="BT410" s="334">
        <v>1</v>
      </c>
      <c r="BU410" s="334">
        <v>1.1000000000000001</v>
      </c>
      <c r="BV410" s="335">
        <v>1.17</v>
      </c>
      <c r="BW410" s="334">
        <v>1.22</v>
      </c>
      <c r="BX410" s="334">
        <v>1.23</v>
      </c>
      <c r="BZ410" s="333">
        <v>20</v>
      </c>
      <c r="CA410" s="334">
        <v>1</v>
      </c>
      <c r="CB410" s="334">
        <v>1.05</v>
      </c>
      <c r="CC410" s="335">
        <v>1.07</v>
      </c>
      <c r="CD410" s="334">
        <v>1.07</v>
      </c>
      <c r="CE410" s="334">
        <v>1.05</v>
      </c>
      <c r="CG410" s="333">
        <v>20</v>
      </c>
      <c r="CH410" s="334">
        <v>1</v>
      </c>
      <c r="CI410" s="334">
        <v>1.02</v>
      </c>
      <c r="CJ410" s="335">
        <v>1.01</v>
      </c>
      <c r="CK410" s="334">
        <v>0.98</v>
      </c>
      <c r="CL410" s="334">
        <v>0.93</v>
      </c>
      <c r="CN410" s="333">
        <v>20</v>
      </c>
      <c r="CO410" s="334">
        <v>1</v>
      </c>
      <c r="CP410" s="334">
        <v>1</v>
      </c>
      <c r="CQ410" s="335">
        <v>0.98</v>
      </c>
      <c r="CR410" s="334">
        <v>0.94</v>
      </c>
      <c r="CS410" s="334">
        <v>0.88</v>
      </c>
    </row>
    <row r="411" spans="3:97" x14ac:dyDescent="0.25">
      <c r="C411" s="333">
        <v>130</v>
      </c>
      <c r="D411" s="334">
        <v>0.87</v>
      </c>
      <c r="E411" s="334">
        <v>0.83</v>
      </c>
      <c r="F411" s="334">
        <v>0.77</v>
      </c>
      <c r="G411" s="335">
        <v>0.71</v>
      </c>
      <c r="H411" s="334">
        <v>0.64</v>
      </c>
      <c r="I411" s="334">
        <v>0.56999999999999995</v>
      </c>
      <c r="J411" s="334">
        <v>0.52</v>
      </c>
      <c r="K411" s="334">
        <v>0.46</v>
      </c>
      <c r="L411" s="334">
        <v>0.41</v>
      </c>
      <c r="M411" s="334">
        <v>0.37</v>
      </c>
      <c r="O411" s="333">
        <v>30</v>
      </c>
      <c r="P411" s="334">
        <v>1</v>
      </c>
      <c r="Q411" s="334">
        <v>1.01</v>
      </c>
      <c r="R411" s="335">
        <v>1</v>
      </c>
      <c r="S411" s="334">
        <v>0.97</v>
      </c>
      <c r="T411" s="334">
        <v>0.92</v>
      </c>
      <c r="V411" s="333">
        <v>30</v>
      </c>
      <c r="W411" s="334">
        <v>1</v>
      </c>
      <c r="X411" s="334">
        <v>1.03</v>
      </c>
      <c r="Y411" s="335">
        <v>1.05</v>
      </c>
      <c r="Z411" s="334">
        <v>1.03</v>
      </c>
      <c r="AA411" s="334">
        <v>1</v>
      </c>
      <c r="AC411" s="333">
        <v>30</v>
      </c>
      <c r="AD411" s="334">
        <v>1</v>
      </c>
      <c r="AE411" s="334">
        <v>1.07</v>
      </c>
      <c r="AF411" s="335">
        <v>1.1200000000000001</v>
      </c>
      <c r="AG411" s="334">
        <v>1.1399999999999999</v>
      </c>
      <c r="AH411" s="334">
        <v>1.1399999999999999</v>
      </c>
      <c r="AJ411" s="333">
        <v>30</v>
      </c>
      <c r="AK411" s="334">
        <v>1</v>
      </c>
      <c r="AL411" s="334">
        <v>1.1200000000000001</v>
      </c>
      <c r="AM411" s="335">
        <v>1.22</v>
      </c>
      <c r="AN411" s="334">
        <v>1.29</v>
      </c>
      <c r="AO411" s="334">
        <v>1.33</v>
      </c>
      <c r="AQ411" s="333">
        <v>30</v>
      </c>
      <c r="AR411" s="334">
        <v>1</v>
      </c>
      <c r="AS411" s="334">
        <v>1.18</v>
      </c>
      <c r="AT411" s="335">
        <v>1.34</v>
      </c>
      <c r="AU411" s="334">
        <v>1.46</v>
      </c>
      <c r="AV411" s="334">
        <v>1.55</v>
      </c>
      <c r="AX411" s="333">
        <v>30</v>
      </c>
      <c r="AY411" s="334">
        <v>1</v>
      </c>
      <c r="AZ411" s="334">
        <v>1.21</v>
      </c>
      <c r="BA411" s="335">
        <v>1.39</v>
      </c>
      <c r="BB411" s="334">
        <v>1.54</v>
      </c>
      <c r="BC411" s="334">
        <v>1.65</v>
      </c>
      <c r="BE411" s="333">
        <v>30</v>
      </c>
      <c r="BF411" s="334">
        <v>1</v>
      </c>
      <c r="BG411" s="334">
        <v>1.2</v>
      </c>
      <c r="BH411" s="335">
        <v>1.37</v>
      </c>
      <c r="BI411" s="334">
        <v>1.52</v>
      </c>
      <c r="BJ411" s="334">
        <v>1.62</v>
      </c>
      <c r="BL411" s="333">
        <v>30</v>
      </c>
      <c r="BM411" s="334">
        <v>1</v>
      </c>
      <c r="BN411" s="334">
        <v>1.1499999999999999</v>
      </c>
      <c r="BO411" s="335">
        <v>1.27</v>
      </c>
      <c r="BP411" s="334">
        <v>1.36</v>
      </c>
      <c r="BQ411" s="334">
        <v>1.43</v>
      </c>
      <c r="BS411" s="333">
        <v>30</v>
      </c>
      <c r="BT411" s="334">
        <v>1</v>
      </c>
      <c r="BU411" s="334">
        <v>1.0900000000000001</v>
      </c>
      <c r="BV411" s="335">
        <v>1.1599999999999999</v>
      </c>
      <c r="BW411" s="334">
        <v>1.2</v>
      </c>
      <c r="BX411" s="334">
        <v>1.21</v>
      </c>
      <c r="BZ411" s="333">
        <v>30</v>
      </c>
      <c r="CA411" s="334">
        <v>1</v>
      </c>
      <c r="CB411" s="334">
        <v>1.04</v>
      </c>
      <c r="CC411" s="335">
        <v>1.06</v>
      </c>
      <c r="CD411" s="334">
        <v>1.07</v>
      </c>
      <c r="CE411" s="334">
        <v>1.04</v>
      </c>
      <c r="CG411" s="333">
        <v>30</v>
      </c>
      <c r="CH411" s="334">
        <v>1</v>
      </c>
      <c r="CI411" s="334">
        <v>1.01</v>
      </c>
      <c r="CJ411" s="335">
        <v>1.01</v>
      </c>
      <c r="CK411" s="334">
        <v>0.98</v>
      </c>
      <c r="CL411" s="334">
        <v>0.94</v>
      </c>
      <c r="CN411" s="333">
        <v>30</v>
      </c>
      <c r="CO411" s="334">
        <v>1</v>
      </c>
      <c r="CP411" s="334">
        <v>1</v>
      </c>
      <c r="CQ411" s="335">
        <v>0.98</v>
      </c>
      <c r="CR411" s="334">
        <v>0.94</v>
      </c>
      <c r="CS411" s="334">
        <v>0.89</v>
      </c>
    </row>
    <row r="412" spans="3:97" x14ac:dyDescent="0.25">
      <c r="C412" s="333">
        <v>140</v>
      </c>
      <c r="D412" s="334">
        <v>0.87</v>
      </c>
      <c r="E412" s="334">
        <v>0.82</v>
      </c>
      <c r="F412" s="334">
        <v>0.76</v>
      </c>
      <c r="G412" s="335">
        <v>0.68</v>
      </c>
      <c r="H412" s="334">
        <v>0.61</v>
      </c>
      <c r="I412" s="334">
        <v>0.54</v>
      </c>
      <c r="J412" s="334">
        <v>0.47</v>
      </c>
      <c r="K412" s="334">
        <v>0.42</v>
      </c>
      <c r="L412" s="334">
        <v>0.37</v>
      </c>
      <c r="M412" s="334">
        <v>0.34</v>
      </c>
      <c r="O412" s="333">
        <v>40</v>
      </c>
      <c r="P412" s="334">
        <v>1</v>
      </c>
      <c r="Q412" s="334">
        <v>1.01</v>
      </c>
      <c r="R412" s="335">
        <v>1</v>
      </c>
      <c r="S412" s="334">
        <v>0.97</v>
      </c>
      <c r="T412" s="334">
        <v>0.92</v>
      </c>
      <c r="V412" s="333">
        <v>40</v>
      </c>
      <c r="W412" s="334">
        <v>1</v>
      </c>
      <c r="X412" s="334">
        <v>1.03</v>
      </c>
      <c r="Y412" s="335">
        <v>1.04</v>
      </c>
      <c r="Z412" s="334">
        <v>1.02</v>
      </c>
      <c r="AA412" s="334">
        <v>1</v>
      </c>
      <c r="AC412" s="333">
        <v>40</v>
      </c>
      <c r="AD412" s="334">
        <v>1</v>
      </c>
      <c r="AE412" s="334">
        <v>1.07</v>
      </c>
      <c r="AF412" s="335">
        <v>1.1000000000000001</v>
      </c>
      <c r="AG412" s="334">
        <v>1.1200000000000001</v>
      </c>
      <c r="AH412" s="334">
        <v>1.1200000000000001</v>
      </c>
      <c r="AJ412" s="333">
        <v>40</v>
      </c>
      <c r="AK412" s="334">
        <v>1</v>
      </c>
      <c r="AL412" s="334">
        <v>1.1100000000000001</v>
      </c>
      <c r="AM412" s="335">
        <v>1.19</v>
      </c>
      <c r="AN412" s="334">
        <v>1.25</v>
      </c>
      <c r="AO412" s="334">
        <v>1.28</v>
      </c>
      <c r="AQ412" s="333">
        <v>40</v>
      </c>
      <c r="AR412" s="334">
        <v>1</v>
      </c>
      <c r="AS412" s="334">
        <v>1.17</v>
      </c>
      <c r="AT412" s="335">
        <v>1.3</v>
      </c>
      <c r="AU412" s="334">
        <v>1.4</v>
      </c>
      <c r="AV412" s="334">
        <v>1.48</v>
      </c>
      <c r="AX412" s="333">
        <v>40</v>
      </c>
      <c r="AY412" s="334">
        <v>1</v>
      </c>
      <c r="AZ412" s="334">
        <v>1.18</v>
      </c>
      <c r="BA412" s="335">
        <v>1.34</v>
      </c>
      <c r="BB412" s="334">
        <v>1.47</v>
      </c>
      <c r="BC412" s="334">
        <v>1.56</v>
      </c>
      <c r="BE412" s="333">
        <v>40</v>
      </c>
      <c r="BF412" s="334">
        <v>1</v>
      </c>
      <c r="BG412" s="334">
        <v>1.18</v>
      </c>
      <c r="BH412" s="335">
        <v>1.34</v>
      </c>
      <c r="BI412" s="334">
        <v>1.45</v>
      </c>
      <c r="BJ412" s="334">
        <v>1.54</v>
      </c>
      <c r="BL412" s="333">
        <v>40</v>
      </c>
      <c r="BM412" s="334">
        <v>1</v>
      </c>
      <c r="BN412" s="334">
        <v>1.1299999999999999</v>
      </c>
      <c r="BO412" s="335">
        <v>1.24</v>
      </c>
      <c r="BP412" s="334">
        <v>1.32</v>
      </c>
      <c r="BQ412" s="334">
        <v>1.37</v>
      </c>
      <c r="BS412" s="333">
        <v>40</v>
      </c>
      <c r="BT412" s="334">
        <v>1</v>
      </c>
      <c r="BU412" s="334">
        <v>1.08</v>
      </c>
      <c r="BV412" s="335">
        <v>1.1399999999999999</v>
      </c>
      <c r="BW412" s="334">
        <v>1.17</v>
      </c>
      <c r="BX412" s="334">
        <v>1.18</v>
      </c>
      <c r="BZ412" s="333">
        <v>40</v>
      </c>
      <c r="CA412" s="334">
        <v>1</v>
      </c>
      <c r="CB412" s="334">
        <v>1.04</v>
      </c>
      <c r="CC412" s="335">
        <v>1.05</v>
      </c>
      <c r="CD412" s="334">
        <v>1.06</v>
      </c>
      <c r="CE412" s="334">
        <v>1.03</v>
      </c>
      <c r="CG412" s="333">
        <v>40</v>
      </c>
      <c r="CH412" s="334">
        <v>1</v>
      </c>
      <c r="CI412" s="334">
        <v>1.01</v>
      </c>
      <c r="CJ412" s="335">
        <v>1.01</v>
      </c>
      <c r="CK412" s="334">
        <v>0.98</v>
      </c>
      <c r="CL412" s="334">
        <v>0.94</v>
      </c>
      <c r="CN412" s="333">
        <v>40</v>
      </c>
      <c r="CO412" s="334">
        <v>1</v>
      </c>
      <c r="CP412" s="334">
        <v>1</v>
      </c>
      <c r="CQ412" s="335">
        <v>0.98</v>
      </c>
      <c r="CR412" s="334">
        <v>0.94</v>
      </c>
      <c r="CS412" s="334">
        <v>0.89</v>
      </c>
    </row>
    <row r="413" spans="3:97" x14ac:dyDescent="0.25">
      <c r="C413" s="333">
        <v>150</v>
      </c>
      <c r="D413" s="334">
        <v>0.87</v>
      </c>
      <c r="E413" s="334">
        <v>0.81</v>
      </c>
      <c r="F413" s="334">
        <v>0.74</v>
      </c>
      <c r="G413" s="335">
        <v>0.66</v>
      </c>
      <c r="H413" s="334">
        <v>0.57999999999999996</v>
      </c>
      <c r="I413" s="334">
        <v>0.5</v>
      </c>
      <c r="J413" s="334">
        <v>0.44</v>
      </c>
      <c r="K413" s="334">
        <v>0.38</v>
      </c>
      <c r="L413" s="334">
        <v>0.34</v>
      </c>
      <c r="M413" s="334">
        <v>0.3</v>
      </c>
      <c r="O413" s="333">
        <v>50</v>
      </c>
      <c r="P413" s="334">
        <v>1</v>
      </c>
      <c r="Q413" s="334">
        <v>1.01</v>
      </c>
      <c r="R413" s="335">
        <v>1</v>
      </c>
      <c r="S413" s="334">
        <v>0.97</v>
      </c>
      <c r="T413" s="334">
        <v>0.92</v>
      </c>
      <c r="V413" s="333">
        <v>50</v>
      </c>
      <c r="W413" s="334">
        <v>1</v>
      </c>
      <c r="X413" s="334">
        <v>1.02</v>
      </c>
      <c r="Y413" s="335">
        <v>1.03</v>
      </c>
      <c r="Z413" s="334">
        <v>1.02</v>
      </c>
      <c r="AA413" s="334">
        <v>0.99</v>
      </c>
      <c r="AC413" s="333">
        <v>50</v>
      </c>
      <c r="AD413" s="334">
        <v>1</v>
      </c>
      <c r="AE413" s="334">
        <v>1.05</v>
      </c>
      <c r="AF413" s="335">
        <v>1.08</v>
      </c>
      <c r="AG413" s="334">
        <v>1.1000000000000001</v>
      </c>
      <c r="AH413" s="334">
        <v>1.0900000000000001</v>
      </c>
      <c r="AJ413" s="333">
        <v>50</v>
      </c>
      <c r="AK413" s="334">
        <v>1</v>
      </c>
      <c r="AL413" s="334">
        <v>1.0900000000000001</v>
      </c>
      <c r="AM413" s="335">
        <v>1.1599999999999999</v>
      </c>
      <c r="AN413" s="334">
        <v>1.21</v>
      </c>
      <c r="AO413" s="334">
        <v>1.23</v>
      </c>
      <c r="AQ413" s="333">
        <v>50</v>
      </c>
      <c r="AR413" s="334">
        <v>1</v>
      </c>
      <c r="AS413" s="334">
        <v>1.1399999999999999</v>
      </c>
      <c r="AT413" s="335">
        <v>1.25</v>
      </c>
      <c r="AU413" s="334">
        <v>1.34</v>
      </c>
      <c r="AV413" s="334">
        <v>1.39</v>
      </c>
      <c r="AX413" s="333">
        <v>50</v>
      </c>
      <c r="AY413" s="334">
        <v>1</v>
      </c>
      <c r="AZ413" s="334">
        <v>1.1599999999999999</v>
      </c>
      <c r="BA413" s="335">
        <v>1.29</v>
      </c>
      <c r="BB413" s="334">
        <v>1.39</v>
      </c>
      <c r="BC413" s="334">
        <v>1.46</v>
      </c>
      <c r="BE413" s="333">
        <v>50</v>
      </c>
      <c r="BF413" s="334">
        <v>1</v>
      </c>
      <c r="BG413" s="334">
        <v>1.1499999999999999</v>
      </c>
      <c r="BH413" s="335">
        <v>1.28</v>
      </c>
      <c r="BI413" s="334">
        <v>1.37</v>
      </c>
      <c r="BJ413" s="334">
        <v>1.44</v>
      </c>
      <c r="BL413" s="333">
        <v>50</v>
      </c>
      <c r="BM413" s="334">
        <v>1</v>
      </c>
      <c r="BN413" s="334">
        <v>1.1100000000000001</v>
      </c>
      <c r="BO413" s="335">
        <v>1.2</v>
      </c>
      <c r="BP413" s="334">
        <v>1.27</v>
      </c>
      <c r="BQ413" s="334">
        <v>1.3</v>
      </c>
      <c r="BS413" s="333">
        <v>50</v>
      </c>
      <c r="BT413" s="334">
        <v>1</v>
      </c>
      <c r="BU413" s="334">
        <v>1.07</v>
      </c>
      <c r="BV413" s="335">
        <v>1.1100000000000001</v>
      </c>
      <c r="BW413" s="334">
        <v>1.1399999999999999</v>
      </c>
      <c r="BX413" s="334">
        <v>1.1399999999999999</v>
      </c>
      <c r="BZ413" s="333">
        <v>50</v>
      </c>
      <c r="CA413" s="334">
        <v>1</v>
      </c>
      <c r="CB413" s="334">
        <v>1.03</v>
      </c>
      <c r="CC413" s="335">
        <v>1.04</v>
      </c>
      <c r="CD413" s="334">
        <v>1.04</v>
      </c>
      <c r="CE413" s="334">
        <v>1.02</v>
      </c>
      <c r="CG413" s="333">
        <v>50</v>
      </c>
      <c r="CH413" s="334">
        <v>1</v>
      </c>
      <c r="CI413" s="334">
        <v>1.01</v>
      </c>
      <c r="CJ413" s="335">
        <v>1</v>
      </c>
      <c r="CK413" s="334">
        <v>0.98</v>
      </c>
      <c r="CL413" s="334">
        <v>0.94</v>
      </c>
      <c r="CN413" s="333">
        <v>50</v>
      </c>
      <c r="CO413" s="334">
        <v>1</v>
      </c>
      <c r="CP413" s="334">
        <v>1</v>
      </c>
      <c r="CQ413" s="335">
        <v>0.98</v>
      </c>
      <c r="CR413" s="334">
        <v>0.95</v>
      </c>
      <c r="CS413" s="334">
        <v>0.9</v>
      </c>
    </row>
    <row r="414" spans="3:97" x14ac:dyDescent="0.25">
      <c r="C414" s="333">
        <v>160</v>
      </c>
      <c r="D414" s="334">
        <v>0.87</v>
      </c>
      <c r="E414" s="334">
        <v>0.81</v>
      </c>
      <c r="F414" s="334">
        <v>0.73</v>
      </c>
      <c r="G414" s="335">
        <v>0.65</v>
      </c>
      <c r="H414" s="334">
        <v>0.56000000000000005</v>
      </c>
      <c r="I414" s="334">
        <v>0.48</v>
      </c>
      <c r="J414" s="334">
        <v>0.41</v>
      </c>
      <c r="K414" s="334">
        <v>0.35</v>
      </c>
      <c r="L414" s="334">
        <v>0.31</v>
      </c>
      <c r="M414" s="334">
        <v>0.28000000000000003</v>
      </c>
      <c r="O414" s="333">
        <v>60</v>
      </c>
      <c r="P414" s="334">
        <v>1</v>
      </c>
      <c r="Q414" s="334">
        <v>1</v>
      </c>
      <c r="R414" s="335">
        <v>1</v>
      </c>
      <c r="S414" s="334">
        <v>0.97</v>
      </c>
      <c r="T414" s="334">
        <v>0.92</v>
      </c>
      <c r="V414" s="333">
        <v>60</v>
      </c>
      <c r="W414" s="334">
        <v>1</v>
      </c>
      <c r="X414" s="334">
        <v>1.02</v>
      </c>
      <c r="Y414" s="335">
        <v>1.02</v>
      </c>
      <c r="Z414" s="334">
        <v>1</v>
      </c>
      <c r="AA414" s="334">
        <v>0.97</v>
      </c>
      <c r="AC414" s="333">
        <v>60</v>
      </c>
      <c r="AD414" s="334">
        <v>1</v>
      </c>
      <c r="AE414" s="334">
        <v>1.04</v>
      </c>
      <c r="AF414" s="335">
        <v>1.07</v>
      </c>
      <c r="AG414" s="334">
        <v>1.07</v>
      </c>
      <c r="AH414" s="334">
        <v>1.05</v>
      </c>
      <c r="AJ414" s="333">
        <v>60</v>
      </c>
      <c r="AK414" s="334">
        <v>1</v>
      </c>
      <c r="AL414" s="334">
        <v>1.07</v>
      </c>
      <c r="AM414" s="335">
        <v>1.1299999999999999</v>
      </c>
      <c r="AN414" s="334">
        <v>1.1599999999999999</v>
      </c>
      <c r="AO414" s="334">
        <v>1.17</v>
      </c>
      <c r="AQ414" s="333">
        <v>60</v>
      </c>
      <c r="AR414" s="334">
        <v>1</v>
      </c>
      <c r="AS414" s="334">
        <v>1.1100000000000001</v>
      </c>
      <c r="AT414" s="335">
        <v>1.2</v>
      </c>
      <c r="AU414" s="334">
        <v>1.26</v>
      </c>
      <c r="AV414" s="334">
        <v>1.3</v>
      </c>
      <c r="AX414" s="333">
        <v>60</v>
      </c>
      <c r="AY414" s="334">
        <v>1</v>
      </c>
      <c r="AZ414" s="334">
        <v>1.1200000000000001</v>
      </c>
      <c r="BA414" s="335">
        <v>1.23</v>
      </c>
      <c r="BB414" s="334">
        <v>1.31</v>
      </c>
      <c r="BC414" s="334">
        <v>1.35</v>
      </c>
      <c r="BE414" s="333">
        <v>60</v>
      </c>
      <c r="BF414" s="334">
        <v>1</v>
      </c>
      <c r="BG414" s="334">
        <v>1.1299999999999999</v>
      </c>
      <c r="BH414" s="335">
        <v>1.22</v>
      </c>
      <c r="BI414" s="334">
        <v>1.29</v>
      </c>
      <c r="BJ414" s="334">
        <v>1.34</v>
      </c>
      <c r="BL414" s="333">
        <v>60</v>
      </c>
      <c r="BM414" s="334">
        <v>1</v>
      </c>
      <c r="BN414" s="334">
        <v>1.0900000000000001</v>
      </c>
      <c r="BO414" s="335">
        <v>1.1599999999999999</v>
      </c>
      <c r="BP414" s="334">
        <v>1.2</v>
      </c>
      <c r="BQ414" s="334">
        <v>1.23</v>
      </c>
      <c r="BS414" s="333">
        <v>60</v>
      </c>
      <c r="BT414" s="334">
        <v>1</v>
      </c>
      <c r="BU414" s="334">
        <v>1.05</v>
      </c>
      <c r="BV414" s="335">
        <v>1.0900000000000001</v>
      </c>
      <c r="BW414" s="334">
        <v>1.1000000000000001</v>
      </c>
      <c r="BX414" s="334">
        <v>1.1000000000000001</v>
      </c>
      <c r="BZ414" s="333">
        <v>60</v>
      </c>
      <c r="CA414" s="334">
        <v>1</v>
      </c>
      <c r="CB414" s="334">
        <v>1.02</v>
      </c>
      <c r="CC414" s="335">
        <v>1.03</v>
      </c>
      <c r="CD414" s="334">
        <v>1.02</v>
      </c>
      <c r="CE414" s="334">
        <v>1</v>
      </c>
      <c r="CG414" s="333">
        <v>60</v>
      </c>
      <c r="CH414" s="334">
        <v>1</v>
      </c>
      <c r="CI414" s="334">
        <v>1.01</v>
      </c>
      <c r="CJ414" s="335">
        <v>1</v>
      </c>
      <c r="CK414" s="334">
        <v>0.98</v>
      </c>
      <c r="CL414" s="334">
        <v>0.94</v>
      </c>
      <c r="CN414" s="333">
        <v>60</v>
      </c>
      <c r="CO414" s="334">
        <v>1</v>
      </c>
      <c r="CP414" s="334">
        <v>1</v>
      </c>
      <c r="CQ414" s="335">
        <v>0.98</v>
      </c>
      <c r="CR414" s="334">
        <v>0.95</v>
      </c>
      <c r="CS414" s="334">
        <v>0.9</v>
      </c>
    </row>
    <row r="415" spans="3:97" x14ac:dyDescent="0.25">
      <c r="C415" s="333">
        <v>170</v>
      </c>
      <c r="D415" s="334">
        <v>0.87</v>
      </c>
      <c r="E415" s="334">
        <v>0.81</v>
      </c>
      <c r="F415" s="334">
        <v>0.73</v>
      </c>
      <c r="G415" s="335">
        <v>0.64</v>
      </c>
      <c r="H415" s="334">
        <v>0.55000000000000004</v>
      </c>
      <c r="I415" s="334">
        <v>0.47</v>
      </c>
      <c r="J415" s="334">
        <v>0.39</v>
      </c>
      <c r="K415" s="334">
        <v>0.34</v>
      </c>
      <c r="L415" s="334">
        <v>0.28999999999999998</v>
      </c>
      <c r="M415" s="334">
        <v>0.27</v>
      </c>
      <c r="O415" s="333">
        <v>70</v>
      </c>
      <c r="P415" s="334">
        <v>1</v>
      </c>
      <c r="Q415" s="334">
        <v>1</v>
      </c>
      <c r="R415" s="335">
        <v>0.99</v>
      </c>
      <c r="S415" s="334">
        <v>0.96</v>
      </c>
      <c r="T415" s="334">
        <v>0.92</v>
      </c>
      <c r="V415" s="333">
        <v>70</v>
      </c>
      <c r="W415" s="334">
        <v>1</v>
      </c>
      <c r="X415" s="334">
        <v>1.01</v>
      </c>
      <c r="Y415" s="335">
        <v>1.01</v>
      </c>
      <c r="Z415" s="334">
        <v>1</v>
      </c>
      <c r="AA415" s="334">
        <v>0.96</v>
      </c>
      <c r="AC415" s="333">
        <v>70</v>
      </c>
      <c r="AD415" s="334">
        <v>1</v>
      </c>
      <c r="AE415" s="334">
        <v>1.03</v>
      </c>
      <c r="AF415" s="335">
        <v>1.04</v>
      </c>
      <c r="AG415" s="334">
        <v>1.04</v>
      </c>
      <c r="AH415" s="334">
        <v>1.03</v>
      </c>
      <c r="AJ415" s="333">
        <v>70</v>
      </c>
      <c r="AK415" s="334">
        <v>1</v>
      </c>
      <c r="AL415" s="334">
        <v>1.05</v>
      </c>
      <c r="AM415" s="335">
        <v>1.0900000000000001</v>
      </c>
      <c r="AN415" s="334">
        <v>1.1100000000000001</v>
      </c>
      <c r="AO415" s="334">
        <v>1.1100000000000001</v>
      </c>
      <c r="AQ415" s="333">
        <v>70</v>
      </c>
      <c r="AR415" s="334">
        <v>1</v>
      </c>
      <c r="AS415" s="334">
        <v>1.08</v>
      </c>
      <c r="AT415" s="335">
        <v>1.1399999999999999</v>
      </c>
      <c r="AU415" s="334">
        <v>1.18</v>
      </c>
      <c r="AV415" s="334">
        <v>1.19</v>
      </c>
      <c r="AX415" s="333">
        <v>70</v>
      </c>
      <c r="AY415" s="334">
        <v>1</v>
      </c>
      <c r="AZ415" s="334">
        <v>1.0900000000000001</v>
      </c>
      <c r="BA415" s="335">
        <v>1.1599999999999999</v>
      </c>
      <c r="BB415" s="334">
        <v>1.21</v>
      </c>
      <c r="BC415" s="334">
        <v>1.24</v>
      </c>
      <c r="BE415" s="333">
        <v>70</v>
      </c>
      <c r="BF415" s="334">
        <v>1</v>
      </c>
      <c r="BG415" s="334">
        <v>1.0900000000000001</v>
      </c>
      <c r="BH415" s="335">
        <v>1.1499999999999999</v>
      </c>
      <c r="BI415" s="334">
        <v>1.21</v>
      </c>
      <c r="BJ415" s="334">
        <v>1.23</v>
      </c>
      <c r="BL415" s="333">
        <v>70</v>
      </c>
      <c r="BM415" s="334">
        <v>1</v>
      </c>
      <c r="BN415" s="334">
        <v>1.06</v>
      </c>
      <c r="BO415" s="335">
        <v>1.1100000000000001</v>
      </c>
      <c r="BP415" s="334">
        <v>1.1399999999999999</v>
      </c>
      <c r="BQ415" s="334">
        <v>1.1499999999999999</v>
      </c>
      <c r="BS415" s="333">
        <v>70</v>
      </c>
      <c r="BT415" s="334">
        <v>1</v>
      </c>
      <c r="BU415" s="334">
        <v>1.03</v>
      </c>
      <c r="BV415" s="335">
        <v>1.06</v>
      </c>
      <c r="BW415" s="334">
        <v>1.07</v>
      </c>
      <c r="BX415" s="334">
        <v>1.05</v>
      </c>
      <c r="BZ415" s="333">
        <v>70</v>
      </c>
      <c r="CA415" s="334">
        <v>1</v>
      </c>
      <c r="CB415" s="334">
        <v>1.01</v>
      </c>
      <c r="CC415" s="335">
        <v>1.02</v>
      </c>
      <c r="CD415" s="334">
        <v>1</v>
      </c>
      <c r="CE415" s="334">
        <v>0.98</v>
      </c>
      <c r="CG415" s="333">
        <v>70</v>
      </c>
      <c r="CH415" s="334">
        <v>1</v>
      </c>
      <c r="CI415" s="334">
        <v>1.01</v>
      </c>
      <c r="CJ415" s="335">
        <v>1</v>
      </c>
      <c r="CK415" s="334">
        <v>0.97</v>
      </c>
      <c r="CL415" s="334">
        <v>0.93</v>
      </c>
      <c r="CN415" s="333">
        <v>70</v>
      </c>
      <c r="CO415" s="334">
        <v>1</v>
      </c>
      <c r="CP415" s="334">
        <v>1</v>
      </c>
      <c r="CQ415" s="335">
        <v>0.98</v>
      </c>
      <c r="CR415" s="334">
        <v>0.95</v>
      </c>
      <c r="CS415" s="334">
        <v>0.9</v>
      </c>
    </row>
    <row r="416" spans="3:97" x14ac:dyDescent="0.25">
      <c r="C416" s="333">
        <v>180</v>
      </c>
      <c r="D416" s="334">
        <v>0.87</v>
      </c>
      <c r="E416" s="334">
        <v>0.81</v>
      </c>
      <c r="F416" s="334">
        <v>0.73</v>
      </c>
      <c r="G416" s="335">
        <v>0.63</v>
      </c>
      <c r="H416" s="334">
        <v>0.54</v>
      </c>
      <c r="I416" s="334">
        <v>0.46</v>
      </c>
      <c r="J416" s="334">
        <v>0.39</v>
      </c>
      <c r="K416" s="334">
        <v>0.33</v>
      </c>
      <c r="L416" s="334">
        <v>0.28000000000000003</v>
      </c>
      <c r="M416" s="334">
        <v>0.26</v>
      </c>
      <c r="O416" s="333">
        <v>80</v>
      </c>
      <c r="P416" s="334">
        <v>1</v>
      </c>
      <c r="Q416" s="334">
        <v>1</v>
      </c>
      <c r="R416" s="335">
        <v>0.99</v>
      </c>
      <c r="S416" s="334">
        <v>0.96</v>
      </c>
      <c r="T416" s="334">
        <v>0.92</v>
      </c>
      <c r="V416" s="333">
        <v>80</v>
      </c>
      <c r="W416" s="334">
        <v>1</v>
      </c>
      <c r="X416" s="334">
        <v>1.01</v>
      </c>
      <c r="Y416" s="335">
        <v>1</v>
      </c>
      <c r="Z416" s="334">
        <v>0.98</v>
      </c>
      <c r="AA416" s="334">
        <v>0.95</v>
      </c>
      <c r="AC416" s="333">
        <v>80</v>
      </c>
      <c r="AD416" s="334">
        <v>1</v>
      </c>
      <c r="AE416" s="334">
        <v>1.02</v>
      </c>
      <c r="AF416" s="335">
        <v>1.02</v>
      </c>
      <c r="AG416" s="334">
        <v>1.01</v>
      </c>
      <c r="AH416" s="334">
        <v>0.98</v>
      </c>
      <c r="AJ416" s="333">
        <v>80</v>
      </c>
      <c r="AK416" s="334">
        <v>1</v>
      </c>
      <c r="AL416" s="334">
        <v>1.03</v>
      </c>
      <c r="AM416" s="335">
        <v>1.05</v>
      </c>
      <c r="AN416" s="334">
        <v>1.05</v>
      </c>
      <c r="AO416" s="334">
        <v>1.04</v>
      </c>
      <c r="AQ416" s="333">
        <v>80</v>
      </c>
      <c r="AR416" s="334">
        <v>1</v>
      </c>
      <c r="AS416" s="334">
        <v>1.05</v>
      </c>
      <c r="AT416" s="335">
        <v>1.08</v>
      </c>
      <c r="AU416" s="334">
        <v>1.0900000000000001</v>
      </c>
      <c r="AV416" s="334">
        <v>1.1000000000000001</v>
      </c>
      <c r="AX416" s="333">
        <v>80</v>
      </c>
      <c r="AY416" s="334">
        <v>1</v>
      </c>
      <c r="AZ416" s="334">
        <v>1.05</v>
      </c>
      <c r="BA416" s="335">
        <v>1.0900000000000001</v>
      </c>
      <c r="BB416" s="334">
        <v>1.1100000000000001</v>
      </c>
      <c r="BC416" s="334">
        <v>1.1200000000000001</v>
      </c>
      <c r="BE416" s="333">
        <v>80</v>
      </c>
      <c r="BF416" s="334">
        <v>1</v>
      </c>
      <c r="BG416" s="334">
        <v>1.05</v>
      </c>
      <c r="BH416" s="335">
        <v>1.0900000000000001</v>
      </c>
      <c r="BI416" s="334">
        <v>1.1100000000000001</v>
      </c>
      <c r="BJ416" s="334">
        <v>1.1200000000000001</v>
      </c>
      <c r="BL416" s="333">
        <v>80</v>
      </c>
      <c r="BM416" s="334">
        <v>1</v>
      </c>
      <c r="BN416" s="334">
        <v>1.03</v>
      </c>
      <c r="BO416" s="335">
        <v>1.06</v>
      </c>
      <c r="BP416" s="334">
        <v>1.07</v>
      </c>
      <c r="BQ416" s="334">
        <v>1.06</v>
      </c>
      <c r="BS416" s="333">
        <v>80</v>
      </c>
      <c r="BT416" s="334">
        <v>1</v>
      </c>
      <c r="BU416" s="334">
        <v>1.02</v>
      </c>
      <c r="BV416" s="335">
        <v>1.03</v>
      </c>
      <c r="BW416" s="334">
        <v>1.02</v>
      </c>
      <c r="BX416" s="334">
        <v>1</v>
      </c>
      <c r="BZ416" s="333">
        <v>80</v>
      </c>
      <c r="CA416" s="334">
        <v>1</v>
      </c>
      <c r="CB416" s="334">
        <v>1.01</v>
      </c>
      <c r="CC416" s="335">
        <v>1</v>
      </c>
      <c r="CD416" s="334">
        <v>0.99</v>
      </c>
      <c r="CE416" s="334">
        <v>0.96</v>
      </c>
      <c r="CG416" s="333">
        <v>80</v>
      </c>
      <c r="CH416" s="334">
        <v>1</v>
      </c>
      <c r="CI416" s="334">
        <v>1</v>
      </c>
      <c r="CJ416" s="335">
        <v>0.99</v>
      </c>
      <c r="CK416" s="334">
        <v>0.96</v>
      </c>
      <c r="CL416" s="334">
        <v>0.93</v>
      </c>
      <c r="CN416" s="333">
        <v>80</v>
      </c>
      <c r="CO416" s="334">
        <v>1</v>
      </c>
      <c r="CP416" s="334">
        <v>1</v>
      </c>
      <c r="CQ416" s="335">
        <v>0.98</v>
      </c>
      <c r="CR416" s="334">
        <v>0.95</v>
      </c>
      <c r="CS416" s="334">
        <v>0.9</v>
      </c>
    </row>
    <row r="417" spans="3:97" x14ac:dyDescent="0.25">
      <c r="C417" s="333">
        <v>190</v>
      </c>
      <c r="D417" s="334">
        <v>0.87</v>
      </c>
      <c r="E417" s="334">
        <v>0.81</v>
      </c>
      <c r="F417" s="334">
        <v>0.73</v>
      </c>
      <c r="G417" s="335">
        <v>0.64</v>
      </c>
      <c r="H417" s="334">
        <v>0.55000000000000004</v>
      </c>
      <c r="I417" s="334">
        <v>0.47</v>
      </c>
      <c r="J417" s="334">
        <v>0.4</v>
      </c>
      <c r="K417" s="334">
        <v>0.34</v>
      </c>
      <c r="L417" s="334">
        <v>0.28999999999999998</v>
      </c>
      <c r="M417" s="334">
        <v>0.27</v>
      </c>
      <c r="O417" s="333">
        <v>90</v>
      </c>
      <c r="P417" s="334">
        <v>1</v>
      </c>
      <c r="Q417" s="334">
        <v>1</v>
      </c>
      <c r="R417" s="335">
        <v>0.98</v>
      </c>
      <c r="S417" s="334">
        <v>0.96</v>
      </c>
      <c r="T417" s="334">
        <v>0.91</v>
      </c>
      <c r="V417" s="333">
        <v>90</v>
      </c>
      <c r="W417" s="334">
        <v>1</v>
      </c>
      <c r="X417" s="334">
        <v>1</v>
      </c>
      <c r="Y417" s="335">
        <v>0.99</v>
      </c>
      <c r="Z417" s="334">
        <v>0.96</v>
      </c>
      <c r="AA417" s="334">
        <v>0.92</v>
      </c>
      <c r="AC417" s="333">
        <v>90</v>
      </c>
      <c r="AD417" s="334">
        <v>1</v>
      </c>
      <c r="AE417" s="334">
        <v>1.01</v>
      </c>
      <c r="AF417" s="335">
        <v>0.99</v>
      </c>
      <c r="AG417" s="334">
        <v>0.97</v>
      </c>
      <c r="AH417" s="334">
        <v>0.94</v>
      </c>
      <c r="AJ417" s="333">
        <v>90</v>
      </c>
      <c r="AK417" s="334">
        <v>1</v>
      </c>
      <c r="AL417" s="334">
        <v>1.01</v>
      </c>
      <c r="AM417" s="335">
        <v>1</v>
      </c>
      <c r="AN417" s="334">
        <v>0.99</v>
      </c>
      <c r="AO417" s="334">
        <v>0.97</v>
      </c>
      <c r="AQ417" s="333">
        <v>90</v>
      </c>
      <c r="AR417" s="334">
        <v>1</v>
      </c>
      <c r="AS417" s="334">
        <v>1.01</v>
      </c>
      <c r="AT417" s="335">
        <v>1.02</v>
      </c>
      <c r="AU417" s="334">
        <v>1.01</v>
      </c>
      <c r="AV417" s="334">
        <v>0.99</v>
      </c>
      <c r="AX417" s="333">
        <v>90</v>
      </c>
      <c r="AY417" s="334">
        <v>1</v>
      </c>
      <c r="AZ417" s="334">
        <v>1.01</v>
      </c>
      <c r="BA417" s="335">
        <v>1.02</v>
      </c>
      <c r="BB417" s="334">
        <v>1.02</v>
      </c>
      <c r="BC417" s="334">
        <v>1</v>
      </c>
      <c r="BE417" s="333">
        <v>90</v>
      </c>
      <c r="BF417" s="334">
        <v>1</v>
      </c>
      <c r="BG417" s="334">
        <v>1.01</v>
      </c>
      <c r="BH417" s="335">
        <v>1.02</v>
      </c>
      <c r="BI417" s="334">
        <v>1.01</v>
      </c>
      <c r="BJ417" s="334">
        <v>1</v>
      </c>
      <c r="BL417" s="333">
        <v>90</v>
      </c>
      <c r="BM417" s="334">
        <v>1</v>
      </c>
      <c r="BN417" s="334">
        <v>1.01</v>
      </c>
      <c r="BO417" s="335">
        <v>1.01</v>
      </c>
      <c r="BP417" s="334">
        <v>0.99</v>
      </c>
      <c r="BQ417" s="334">
        <v>0.98</v>
      </c>
      <c r="BS417" s="333">
        <v>90</v>
      </c>
      <c r="BT417" s="334">
        <v>1</v>
      </c>
      <c r="BU417" s="334">
        <v>1</v>
      </c>
      <c r="BV417" s="335">
        <v>0.99</v>
      </c>
      <c r="BW417" s="334">
        <v>0.97</v>
      </c>
      <c r="BX417" s="334">
        <v>0.95</v>
      </c>
      <c r="BZ417" s="333">
        <v>90</v>
      </c>
      <c r="CA417" s="334">
        <v>1</v>
      </c>
      <c r="CB417" s="334">
        <v>1</v>
      </c>
      <c r="CC417" s="335">
        <v>0.99</v>
      </c>
      <c r="CD417" s="334">
        <v>0.96</v>
      </c>
      <c r="CE417" s="334">
        <v>0.93</v>
      </c>
      <c r="CG417" s="333">
        <v>90</v>
      </c>
      <c r="CH417" s="334">
        <v>1</v>
      </c>
      <c r="CI417" s="334">
        <v>1</v>
      </c>
      <c r="CJ417" s="335">
        <v>0.98</v>
      </c>
      <c r="CK417" s="334">
        <v>0.95</v>
      </c>
      <c r="CL417" s="334">
        <v>0.91</v>
      </c>
      <c r="CN417" s="333">
        <v>90</v>
      </c>
      <c r="CO417" s="334">
        <v>1</v>
      </c>
      <c r="CP417" s="334">
        <v>1</v>
      </c>
      <c r="CQ417" s="335">
        <v>0.98</v>
      </c>
      <c r="CR417" s="334">
        <v>0.94</v>
      </c>
      <c r="CS417" s="334">
        <v>0.9</v>
      </c>
    </row>
    <row r="418" spans="3:97" x14ac:dyDescent="0.25">
      <c r="C418" s="333">
        <v>200</v>
      </c>
      <c r="D418" s="334">
        <v>0.87</v>
      </c>
      <c r="E418" s="334">
        <v>0.81</v>
      </c>
      <c r="F418" s="334">
        <v>0.74</v>
      </c>
      <c r="G418" s="335">
        <v>0.65</v>
      </c>
      <c r="H418" s="334">
        <v>0.56000000000000005</v>
      </c>
      <c r="I418" s="334">
        <v>0.48</v>
      </c>
      <c r="J418" s="334">
        <v>0.41</v>
      </c>
      <c r="K418" s="334">
        <v>0.35</v>
      </c>
      <c r="L418" s="334">
        <v>0.31</v>
      </c>
      <c r="M418" s="334">
        <v>0.28000000000000003</v>
      </c>
      <c r="P418" s="288"/>
      <c r="Q418" s="288"/>
      <c r="R418" s="288"/>
      <c r="S418" s="288"/>
      <c r="T418" s="288"/>
      <c r="W418" s="288"/>
      <c r="X418" s="288"/>
      <c r="Y418" s="288"/>
      <c r="Z418" s="288"/>
      <c r="AA418" s="288"/>
      <c r="AD418" s="288"/>
      <c r="AE418" s="288"/>
      <c r="AF418" s="288"/>
      <c r="AG418" s="288"/>
      <c r="AH418" s="288"/>
      <c r="AK418" s="288"/>
      <c r="AL418" s="288"/>
      <c r="AM418" s="288"/>
      <c r="AN418" s="288"/>
      <c r="AO418" s="288"/>
      <c r="AR418" s="288"/>
      <c r="AS418" s="288"/>
      <c r="AT418" s="288"/>
      <c r="AU418" s="288"/>
      <c r="AV418" s="288"/>
      <c r="AY418" s="288"/>
      <c r="AZ418" s="288"/>
      <c r="BA418" s="288"/>
      <c r="BB418" s="288"/>
      <c r="BC418" s="288"/>
      <c r="BF418" s="288"/>
      <c r="BG418" s="288"/>
      <c r="BH418" s="288"/>
      <c r="BI418" s="288"/>
      <c r="BJ418" s="288"/>
      <c r="BM418" s="288"/>
      <c r="BN418" s="288"/>
      <c r="BO418" s="288"/>
      <c r="BP418" s="288"/>
      <c r="BQ418" s="288"/>
      <c r="BT418" s="288"/>
      <c r="BU418" s="288"/>
      <c r="BV418" s="288"/>
      <c r="BW418" s="288"/>
      <c r="BX418" s="288"/>
      <c r="CA418" s="288"/>
      <c r="CB418" s="288"/>
      <c r="CC418" s="288"/>
      <c r="CD418" s="288"/>
      <c r="CE418" s="288"/>
      <c r="CH418" s="288"/>
      <c r="CI418" s="288"/>
      <c r="CJ418" s="288"/>
      <c r="CK418" s="288"/>
      <c r="CL418" s="288"/>
      <c r="CO418" s="288"/>
      <c r="CP418" s="288"/>
      <c r="CQ418" s="288"/>
      <c r="CR418" s="288"/>
      <c r="CS418" s="288"/>
    </row>
    <row r="419" spans="3:97" x14ac:dyDescent="0.25">
      <c r="C419" s="333">
        <v>210</v>
      </c>
      <c r="D419" s="334">
        <v>0.87</v>
      </c>
      <c r="E419" s="334">
        <v>0.82</v>
      </c>
      <c r="F419" s="334">
        <v>0.74</v>
      </c>
      <c r="G419" s="335">
        <v>0.66</v>
      </c>
      <c r="H419" s="334">
        <v>0.59</v>
      </c>
      <c r="I419" s="334">
        <v>0.51</v>
      </c>
      <c r="J419" s="334">
        <v>0.44</v>
      </c>
      <c r="K419" s="334">
        <v>0.38</v>
      </c>
      <c r="L419" s="334">
        <v>0.34</v>
      </c>
      <c r="M419" s="334">
        <v>0.3</v>
      </c>
      <c r="P419" s="288"/>
      <c r="Q419" s="288"/>
      <c r="R419" s="288"/>
      <c r="S419" s="288"/>
      <c r="T419" s="288"/>
      <c r="W419" s="288"/>
      <c r="X419" s="288"/>
      <c r="Y419" s="288"/>
      <c r="Z419" s="288"/>
      <c r="AA419" s="288"/>
      <c r="AD419" s="288"/>
      <c r="AE419" s="288"/>
      <c r="AF419" s="288"/>
      <c r="AG419" s="288"/>
      <c r="AH419" s="288"/>
      <c r="AK419" s="288"/>
      <c r="AL419" s="288"/>
      <c r="AM419" s="288"/>
      <c r="AN419" s="288"/>
      <c r="AO419" s="288"/>
      <c r="AR419" s="288"/>
      <c r="AS419" s="288"/>
      <c r="AT419" s="288"/>
      <c r="AU419" s="288"/>
      <c r="AV419" s="288"/>
      <c r="AY419" s="288"/>
      <c r="AZ419" s="288"/>
      <c r="BA419" s="288"/>
      <c r="BB419" s="288"/>
      <c r="BC419" s="288"/>
      <c r="BF419" s="288"/>
      <c r="BG419" s="288"/>
      <c r="BH419" s="288"/>
      <c r="BI419" s="288"/>
      <c r="BJ419" s="288"/>
      <c r="BM419" s="288"/>
      <c r="BN419" s="288"/>
      <c r="BO419" s="288"/>
      <c r="BP419" s="288"/>
      <c r="BQ419" s="288"/>
      <c r="BT419" s="288"/>
      <c r="BU419" s="288"/>
      <c r="BV419" s="288"/>
      <c r="BW419" s="288"/>
      <c r="BX419" s="288"/>
      <c r="CA419" s="288"/>
      <c r="CB419" s="288"/>
      <c r="CC419" s="288"/>
      <c r="CD419" s="288"/>
      <c r="CE419" s="288"/>
      <c r="CH419" s="288"/>
      <c r="CI419" s="288"/>
      <c r="CJ419" s="288"/>
      <c r="CK419" s="288"/>
      <c r="CL419" s="288"/>
      <c r="CO419" s="288"/>
      <c r="CP419" s="288"/>
      <c r="CQ419" s="288"/>
      <c r="CR419" s="288"/>
      <c r="CS419" s="288"/>
    </row>
    <row r="420" spans="3:97" x14ac:dyDescent="0.25">
      <c r="C420" s="333">
        <v>220</v>
      </c>
      <c r="D420" s="334">
        <v>0.87</v>
      </c>
      <c r="E420" s="334">
        <v>0.82</v>
      </c>
      <c r="F420" s="334">
        <v>0.76</v>
      </c>
      <c r="G420" s="335">
        <v>0.69</v>
      </c>
      <c r="H420" s="334">
        <v>0.61</v>
      </c>
      <c r="I420" s="334">
        <v>0.54</v>
      </c>
      <c r="J420" s="334">
        <v>0.48</v>
      </c>
      <c r="K420" s="334">
        <v>0.43</v>
      </c>
      <c r="L420" s="334">
        <v>0.38</v>
      </c>
      <c r="M420" s="334">
        <v>0.34</v>
      </c>
      <c r="P420" s="288"/>
      <c r="Q420" s="288"/>
      <c r="R420" s="288"/>
      <c r="S420" s="288"/>
      <c r="T420" s="288"/>
      <c r="W420" s="288"/>
      <c r="X420" s="288"/>
      <c r="Y420" s="288"/>
      <c r="Z420" s="288"/>
      <c r="AA420" s="288"/>
      <c r="AD420" s="288"/>
      <c r="AE420" s="288"/>
      <c r="AF420" s="288"/>
      <c r="AG420" s="288"/>
      <c r="AH420" s="288"/>
      <c r="AK420" s="288"/>
      <c r="AL420" s="288"/>
      <c r="AM420" s="288"/>
      <c r="AN420" s="288"/>
      <c r="AO420" s="288"/>
      <c r="AR420" s="288"/>
      <c r="AS420" s="288"/>
      <c r="AT420" s="288"/>
      <c r="AU420" s="288"/>
      <c r="AV420" s="288"/>
      <c r="AY420" s="288"/>
      <c r="AZ420" s="288"/>
      <c r="BA420" s="288"/>
      <c r="BB420" s="288"/>
      <c r="BC420" s="288"/>
      <c r="BF420" s="288"/>
      <c r="BG420" s="288"/>
      <c r="BH420" s="288"/>
      <c r="BI420" s="288"/>
      <c r="BJ420" s="288"/>
      <c r="BM420" s="288"/>
      <c r="BN420" s="288"/>
      <c r="BO420" s="288"/>
      <c r="BP420" s="288"/>
      <c r="BQ420" s="288"/>
      <c r="BT420" s="288"/>
      <c r="BU420" s="288"/>
      <c r="BV420" s="288"/>
      <c r="BW420" s="288"/>
      <c r="BX420" s="288"/>
      <c r="CA420" s="288"/>
      <c r="CB420" s="288"/>
      <c r="CC420" s="288"/>
      <c r="CD420" s="288"/>
      <c r="CE420" s="288"/>
      <c r="CH420" s="288"/>
      <c r="CI420" s="288"/>
      <c r="CJ420" s="288"/>
      <c r="CK420" s="288"/>
      <c r="CL420" s="288"/>
      <c r="CO420" s="288"/>
      <c r="CP420" s="288"/>
      <c r="CQ420" s="288"/>
      <c r="CR420" s="288"/>
      <c r="CS420" s="288"/>
    </row>
    <row r="421" spans="3:97" x14ac:dyDescent="0.25">
      <c r="C421" s="333">
        <v>230</v>
      </c>
      <c r="D421" s="334">
        <v>0.87</v>
      </c>
      <c r="E421" s="334">
        <v>0.83</v>
      </c>
      <c r="F421" s="334">
        <v>0.78</v>
      </c>
      <c r="G421" s="335">
        <v>0.71</v>
      </c>
      <c r="H421" s="334">
        <v>0.65</v>
      </c>
      <c r="I421" s="334">
        <v>0.59</v>
      </c>
      <c r="J421" s="334">
        <v>0.52</v>
      </c>
      <c r="K421" s="334">
        <v>0.47</v>
      </c>
      <c r="L421" s="334">
        <v>0.41</v>
      </c>
      <c r="M421" s="334">
        <v>0.37</v>
      </c>
      <c r="P421" s="288"/>
      <c r="Q421" s="288"/>
      <c r="R421" s="288"/>
      <c r="S421" s="288"/>
      <c r="T421" s="288"/>
      <c r="W421" s="288"/>
      <c r="X421" s="288"/>
      <c r="Y421" s="288"/>
      <c r="Z421" s="288"/>
      <c r="AA421" s="288"/>
      <c r="AD421" s="288"/>
      <c r="AE421" s="288"/>
      <c r="AF421" s="288"/>
      <c r="AG421" s="288"/>
      <c r="AH421" s="288"/>
      <c r="AK421" s="288"/>
      <c r="AL421" s="288"/>
      <c r="AM421" s="288"/>
      <c r="AN421" s="288"/>
      <c r="AO421" s="288"/>
      <c r="AR421" s="288"/>
      <c r="AS421" s="288"/>
      <c r="AT421" s="288"/>
      <c r="AU421" s="288"/>
      <c r="AV421" s="288"/>
      <c r="AY421" s="288"/>
      <c r="AZ421" s="288"/>
      <c r="BA421" s="288"/>
      <c r="BB421" s="288"/>
      <c r="BC421" s="288"/>
      <c r="BF421" s="288"/>
      <c r="BG421" s="288"/>
      <c r="BH421" s="288"/>
      <c r="BI421" s="288"/>
      <c r="BJ421" s="288"/>
      <c r="BM421" s="288"/>
      <c r="BN421" s="288"/>
      <c r="BO421" s="288"/>
      <c r="BP421" s="288"/>
      <c r="BQ421" s="288"/>
      <c r="BT421" s="288"/>
      <c r="BU421" s="288"/>
      <c r="BV421" s="288"/>
      <c r="BW421" s="288"/>
      <c r="BX421" s="288"/>
      <c r="CA421" s="288"/>
      <c r="CB421" s="288"/>
      <c r="CC421" s="288"/>
      <c r="CD421" s="288"/>
      <c r="CE421" s="288"/>
      <c r="CH421" s="288"/>
      <c r="CI421" s="288"/>
      <c r="CJ421" s="288"/>
      <c r="CK421" s="288"/>
      <c r="CL421" s="288"/>
      <c r="CO421" s="288"/>
      <c r="CP421" s="288"/>
      <c r="CQ421" s="288"/>
      <c r="CR421" s="288"/>
      <c r="CS421" s="288"/>
    </row>
    <row r="422" spans="3:97" x14ac:dyDescent="0.25">
      <c r="C422" s="333">
        <v>240</v>
      </c>
      <c r="D422" s="334">
        <v>0.87</v>
      </c>
      <c r="E422" s="334">
        <v>0.84</v>
      </c>
      <c r="F422" s="334">
        <v>0.8</v>
      </c>
      <c r="G422" s="335">
        <v>0.74</v>
      </c>
      <c r="H422" s="334">
        <v>0.69</v>
      </c>
      <c r="I422" s="334">
        <v>0.63</v>
      </c>
      <c r="J422" s="334">
        <v>0.56999999999999995</v>
      </c>
      <c r="K422" s="334">
        <v>0.52</v>
      </c>
      <c r="L422" s="334">
        <v>0.46</v>
      </c>
      <c r="M422" s="334">
        <v>0.41</v>
      </c>
      <c r="P422" s="288"/>
      <c r="Q422" s="288"/>
      <c r="R422" s="288"/>
      <c r="S422" s="288"/>
      <c r="T422" s="288"/>
      <c r="W422" s="288"/>
      <c r="X422" s="288"/>
      <c r="Y422" s="288"/>
      <c r="Z422" s="288"/>
      <c r="AA422" s="288"/>
      <c r="AD422" s="288"/>
      <c r="AE422" s="288"/>
      <c r="AF422" s="288"/>
      <c r="AG422" s="288"/>
      <c r="AH422" s="288"/>
      <c r="AK422" s="288"/>
      <c r="AL422" s="288"/>
      <c r="AM422" s="288"/>
      <c r="AN422" s="288"/>
      <c r="AO422" s="288"/>
      <c r="AR422" s="288"/>
      <c r="AS422" s="288"/>
      <c r="AT422" s="288"/>
      <c r="AU422" s="288"/>
      <c r="AV422" s="288"/>
      <c r="AY422" s="288"/>
      <c r="AZ422" s="288"/>
      <c r="BA422" s="288"/>
      <c r="BB422" s="288"/>
      <c r="BC422" s="288"/>
      <c r="BF422" s="288"/>
      <c r="BG422" s="288"/>
      <c r="BH422" s="288"/>
      <c r="BI422" s="288"/>
      <c r="BJ422" s="288"/>
      <c r="BM422" s="288"/>
      <c r="BN422" s="288"/>
      <c r="BO422" s="288"/>
      <c r="BP422" s="288"/>
      <c r="BQ422" s="288"/>
      <c r="BT422" s="288"/>
      <c r="BU422" s="288"/>
      <c r="BV422" s="288"/>
      <c r="BW422" s="288"/>
      <c r="BX422" s="288"/>
      <c r="CA422" s="288"/>
      <c r="CB422" s="288"/>
      <c r="CC422" s="288"/>
      <c r="CD422" s="288"/>
      <c r="CE422" s="288"/>
      <c r="CH422" s="288"/>
      <c r="CI422" s="288"/>
      <c r="CJ422" s="288"/>
      <c r="CK422" s="288"/>
      <c r="CL422" s="288"/>
      <c r="CO422" s="288"/>
      <c r="CP422" s="288"/>
      <c r="CQ422" s="288"/>
      <c r="CR422" s="288"/>
      <c r="CS422" s="288"/>
    </row>
    <row r="423" spans="3:97" x14ac:dyDescent="0.25">
      <c r="C423" s="333">
        <v>250</v>
      </c>
      <c r="D423" s="334">
        <v>0.87</v>
      </c>
      <c r="E423" s="334">
        <v>0.85</v>
      </c>
      <c r="F423" s="334">
        <v>0.82</v>
      </c>
      <c r="G423" s="335">
        <v>0.77</v>
      </c>
      <c r="H423" s="334">
        <v>0.72</v>
      </c>
      <c r="I423" s="334">
        <v>0.67</v>
      </c>
      <c r="J423" s="334">
        <v>0.62</v>
      </c>
      <c r="K423" s="334">
        <v>0.56000000000000005</v>
      </c>
      <c r="L423" s="334">
        <v>0.51</v>
      </c>
      <c r="M423" s="334">
        <v>0.45</v>
      </c>
      <c r="P423" s="288"/>
      <c r="Q423" s="288"/>
      <c r="R423" s="288"/>
      <c r="S423" s="288"/>
      <c r="T423" s="288"/>
      <c r="W423" s="288"/>
      <c r="X423" s="288"/>
      <c r="Y423" s="288"/>
      <c r="Z423" s="288"/>
      <c r="AA423" s="288"/>
      <c r="AD423" s="288"/>
      <c r="AE423" s="288"/>
      <c r="AF423" s="288"/>
      <c r="AG423" s="288"/>
      <c r="AH423" s="288"/>
      <c r="AK423" s="288"/>
      <c r="AL423" s="288"/>
      <c r="AM423" s="288"/>
      <c r="AN423" s="288"/>
      <c r="AO423" s="288"/>
      <c r="AR423" s="288"/>
      <c r="AS423" s="288"/>
      <c r="AT423" s="288"/>
      <c r="AU423" s="288"/>
      <c r="AV423" s="288"/>
      <c r="AY423" s="288"/>
      <c r="AZ423" s="288"/>
      <c r="BA423" s="288"/>
      <c r="BB423" s="288"/>
      <c r="BC423" s="288"/>
      <c r="BF423" s="288"/>
      <c r="BG423" s="288"/>
      <c r="BH423" s="288"/>
      <c r="BI423" s="288"/>
      <c r="BJ423" s="288"/>
      <c r="BM423" s="288"/>
      <c r="BN423" s="288"/>
      <c r="BO423" s="288"/>
      <c r="BP423" s="288"/>
      <c r="BQ423" s="288"/>
      <c r="BT423" s="288"/>
      <c r="BU423" s="288"/>
      <c r="BV423" s="288"/>
      <c r="BW423" s="288"/>
      <c r="BX423" s="288"/>
      <c r="CA423" s="288"/>
      <c r="CB423" s="288"/>
      <c r="CC423" s="288"/>
      <c r="CD423" s="288"/>
      <c r="CE423" s="288"/>
      <c r="CH423" s="288"/>
      <c r="CI423" s="288"/>
      <c r="CJ423" s="288"/>
      <c r="CK423" s="288"/>
      <c r="CL423" s="288"/>
      <c r="CO423" s="288"/>
      <c r="CP423" s="288"/>
      <c r="CQ423" s="288"/>
      <c r="CR423" s="288"/>
      <c r="CS423" s="288"/>
    </row>
    <row r="424" spans="3:97" x14ac:dyDescent="0.25">
      <c r="C424" s="333">
        <v>260</v>
      </c>
      <c r="D424" s="334">
        <v>0.87</v>
      </c>
      <c r="E424" s="334">
        <v>0.86</v>
      </c>
      <c r="F424" s="334">
        <v>0.84</v>
      </c>
      <c r="G424" s="335">
        <v>0.8</v>
      </c>
      <c r="H424" s="334">
        <v>0.76</v>
      </c>
      <c r="I424" s="334">
        <v>0.71</v>
      </c>
      <c r="J424" s="334">
        <v>0.66</v>
      </c>
      <c r="K424" s="334">
        <v>0.61</v>
      </c>
      <c r="L424" s="334">
        <v>0.55000000000000004</v>
      </c>
      <c r="M424" s="334">
        <v>0.49</v>
      </c>
      <c r="P424" s="288"/>
      <c r="Q424" s="288"/>
      <c r="R424" s="288"/>
      <c r="S424" s="288"/>
      <c r="T424" s="288"/>
      <c r="W424" s="288"/>
      <c r="X424" s="288"/>
      <c r="Y424" s="288"/>
      <c r="Z424" s="288"/>
      <c r="AA424" s="288"/>
      <c r="AD424" s="288"/>
      <c r="AE424" s="288"/>
      <c r="AF424" s="288"/>
      <c r="AG424" s="288"/>
      <c r="AH424" s="288"/>
      <c r="AK424" s="288"/>
      <c r="AL424" s="288"/>
      <c r="AM424" s="288"/>
      <c r="AN424" s="288"/>
      <c r="AO424" s="288"/>
      <c r="AR424" s="288"/>
      <c r="AS424" s="288"/>
      <c r="AT424" s="288"/>
      <c r="AU424" s="288"/>
      <c r="AV424" s="288"/>
      <c r="AY424" s="288"/>
      <c r="AZ424" s="288"/>
      <c r="BA424" s="288"/>
      <c r="BB424" s="288"/>
      <c r="BC424" s="288"/>
      <c r="BF424" s="288"/>
      <c r="BG424" s="288"/>
      <c r="BH424" s="288"/>
      <c r="BI424" s="288"/>
      <c r="BJ424" s="288"/>
      <c r="BM424" s="288"/>
      <c r="BN424" s="288"/>
      <c r="BO424" s="288"/>
      <c r="BP424" s="288"/>
      <c r="BQ424" s="288"/>
      <c r="BT424" s="288"/>
      <c r="BU424" s="288"/>
      <c r="BV424" s="288"/>
      <c r="BW424" s="288"/>
      <c r="BX424" s="288"/>
      <c r="CA424" s="288"/>
      <c r="CB424" s="288"/>
      <c r="CC424" s="288"/>
      <c r="CD424" s="288"/>
      <c r="CE424" s="288"/>
      <c r="CH424" s="288"/>
      <c r="CI424" s="288"/>
      <c r="CJ424" s="288"/>
      <c r="CK424" s="288"/>
      <c r="CL424" s="288"/>
      <c r="CO424" s="288"/>
      <c r="CP424" s="288"/>
      <c r="CQ424" s="288"/>
      <c r="CR424" s="288"/>
      <c r="CS424" s="288"/>
    </row>
    <row r="425" spans="3:97" x14ac:dyDescent="0.25">
      <c r="C425" s="333">
        <v>270</v>
      </c>
      <c r="D425" s="334">
        <v>0.87</v>
      </c>
      <c r="E425" s="334">
        <v>0.87</v>
      </c>
      <c r="F425" s="334">
        <v>0.86</v>
      </c>
      <c r="G425" s="335">
        <v>0.84</v>
      </c>
      <c r="H425" s="334">
        <v>0.8</v>
      </c>
      <c r="I425" s="334">
        <v>0.76</v>
      </c>
      <c r="J425" s="334">
        <v>0.71</v>
      </c>
      <c r="K425" s="334">
        <v>0.65</v>
      </c>
      <c r="L425" s="334">
        <v>0.59</v>
      </c>
      <c r="M425" s="334">
        <v>0.53</v>
      </c>
      <c r="P425" s="288"/>
      <c r="Q425" s="288"/>
      <c r="R425" s="288"/>
      <c r="S425" s="288"/>
      <c r="T425" s="288"/>
      <c r="W425" s="288"/>
      <c r="X425" s="288"/>
      <c r="Y425" s="288"/>
      <c r="Z425" s="288"/>
      <c r="AA425" s="288"/>
      <c r="AD425" s="288"/>
      <c r="AE425" s="288"/>
      <c r="AF425" s="288"/>
      <c r="AG425" s="288"/>
      <c r="AH425" s="288"/>
      <c r="AK425" s="288"/>
      <c r="AL425" s="288"/>
      <c r="AM425" s="288"/>
      <c r="AN425" s="288"/>
      <c r="AO425" s="288"/>
      <c r="AR425" s="288"/>
      <c r="AS425" s="288"/>
      <c r="AT425" s="288"/>
      <c r="AU425" s="288"/>
      <c r="AV425" s="288"/>
      <c r="AY425" s="288"/>
      <c r="AZ425" s="288"/>
      <c r="BA425" s="288"/>
      <c r="BB425" s="288"/>
      <c r="BC425" s="288"/>
      <c r="BF425" s="288"/>
      <c r="BG425" s="288"/>
      <c r="BH425" s="288"/>
      <c r="BI425" s="288"/>
      <c r="BJ425" s="288"/>
      <c r="BM425" s="288"/>
      <c r="BN425" s="288"/>
      <c r="BO425" s="288"/>
      <c r="BP425" s="288"/>
      <c r="BQ425" s="288"/>
      <c r="BT425" s="288"/>
      <c r="BU425" s="288"/>
      <c r="BV425" s="288"/>
      <c r="BW425" s="288"/>
      <c r="BX425" s="288"/>
      <c r="CA425" s="288"/>
      <c r="CB425" s="288"/>
      <c r="CC425" s="288"/>
      <c r="CD425" s="288"/>
      <c r="CE425" s="288"/>
      <c r="CH425" s="288"/>
      <c r="CI425" s="288"/>
      <c r="CJ425" s="288"/>
      <c r="CK425" s="288"/>
      <c r="CL425" s="288"/>
      <c r="CO425" s="288"/>
      <c r="CP425" s="288"/>
      <c r="CQ425" s="288"/>
      <c r="CR425" s="288"/>
      <c r="CS425" s="288"/>
    </row>
    <row r="426" spans="3:97" x14ac:dyDescent="0.25">
      <c r="C426" s="333">
        <v>280</v>
      </c>
      <c r="D426" s="334">
        <v>0.87</v>
      </c>
      <c r="E426" s="334">
        <v>0.88</v>
      </c>
      <c r="F426" s="334">
        <v>0.88</v>
      </c>
      <c r="G426" s="335">
        <v>0.87</v>
      </c>
      <c r="H426" s="334">
        <v>0.84</v>
      </c>
      <c r="I426" s="334">
        <v>0.79</v>
      </c>
      <c r="J426" s="334">
        <v>0.74</v>
      </c>
      <c r="K426" s="334">
        <v>0.69</v>
      </c>
      <c r="L426" s="334">
        <v>0.62</v>
      </c>
      <c r="M426" s="334">
        <v>0.56000000000000005</v>
      </c>
      <c r="P426" s="288"/>
      <c r="Q426" s="288"/>
      <c r="R426" s="288"/>
      <c r="S426" s="288"/>
      <c r="T426" s="288"/>
      <c r="W426" s="288"/>
      <c r="X426" s="288"/>
      <c r="Y426" s="288"/>
      <c r="Z426" s="288"/>
      <c r="AA426" s="288"/>
      <c r="AD426" s="288"/>
      <c r="AE426" s="288"/>
      <c r="AF426" s="288"/>
      <c r="AG426" s="288"/>
      <c r="AH426" s="288"/>
      <c r="AK426" s="288"/>
      <c r="AL426" s="288"/>
      <c r="AM426" s="288"/>
      <c r="AN426" s="288"/>
      <c r="AO426" s="288"/>
      <c r="AR426" s="288"/>
      <c r="AS426" s="288"/>
      <c r="AT426" s="288"/>
      <c r="AU426" s="288"/>
      <c r="AV426" s="288"/>
      <c r="AY426" s="288"/>
      <c r="AZ426" s="288"/>
      <c r="BA426" s="288"/>
      <c r="BB426" s="288"/>
      <c r="BC426" s="288"/>
      <c r="BF426" s="288"/>
      <c r="BG426" s="288"/>
      <c r="BH426" s="288"/>
      <c r="BI426" s="288"/>
      <c r="BJ426" s="288"/>
      <c r="BM426" s="288"/>
      <c r="BN426" s="288"/>
      <c r="BO426" s="288"/>
      <c r="BP426" s="288"/>
      <c r="BQ426" s="288"/>
      <c r="BT426" s="288"/>
      <c r="BU426" s="288"/>
      <c r="BV426" s="288"/>
      <c r="BW426" s="288"/>
      <c r="BX426" s="288"/>
      <c r="CA426" s="288"/>
      <c r="CB426" s="288"/>
      <c r="CC426" s="288"/>
      <c r="CD426" s="288"/>
      <c r="CE426" s="288"/>
      <c r="CH426" s="288"/>
      <c r="CI426" s="288"/>
      <c r="CJ426" s="288"/>
      <c r="CK426" s="288"/>
      <c r="CL426" s="288"/>
      <c r="CO426" s="288"/>
      <c r="CP426" s="288"/>
      <c r="CQ426" s="288"/>
      <c r="CR426" s="288"/>
      <c r="CS426" s="288"/>
    </row>
    <row r="427" spans="3:97" x14ac:dyDescent="0.25">
      <c r="C427" s="333">
        <v>290</v>
      </c>
      <c r="D427" s="334">
        <v>0.87</v>
      </c>
      <c r="E427" s="334">
        <v>0.89</v>
      </c>
      <c r="F427" s="334">
        <v>0.9</v>
      </c>
      <c r="G427" s="335">
        <v>0.89</v>
      </c>
      <c r="H427" s="334">
        <v>0.87</v>
      </c>
      <c r="I427" s="334">
        <v>0.83</v>
      </c>
      <c r="J427" s="334">
        <v>0.78</v>
      </c>
      <c r="K427" s="334">
        <v>0.72</v>
      </c>
      <c r="L427" s="334">
        <v>0.66</v>
      </c>
      <c r="M427" s="334">
        <v>0.59</v>
      </c>
      <c r="P427" s="288"/>
      <c r="Q427" s="288"/>
      <c r="R427" s="288"/>
      <c r="S427" s="288"/>
      <c r="T427" s="288"/>
      <c r="W427" s="288"/>
      <c r="X427" s="288"/>
      <c r="Y427" s="288"/>
      <c r="Z427" s="288"/>
      <c r="AA427" s="288"/>
      <c r="AD427" s="288"/>
      <c r="AE427" s="288"/>
      <c r="AF427" s="288"/>
      <c r="AG427" s="288"/>
      <c r="AH427" s="288"/>
      <c r="AK427" s="288"/>
      <c r="AL427" s="288"/>
      <c r="AM427" s="288"/>
      <c r="AN427" s="288"/>
      <c r="AO427" s="288"/>
      <c r="AR427" s="288"/>
      <c r="AS427" s="288"/>
      <c r="AT427" s="288"/>
      <c r="AU427" s="288"/>
      <c r="AV427" s="288"/>
      <c r="AY427" s="288"/>
      <c r="AZ427" s="288"/>
      <c r="BA427" s="288"/>
      <c r="BB427" s="288"/>
      <c r="BC427" s="288"/>
      <c r="BF427" s="288"/>
      <c r="BG427" s="288"/>
      <c r="BH427" s="288"/>
      <c r="BI427" s="288"/>
      <c r="BJ427" s="288"/>
      <c r="BM427" s="288"/>
      <c r="BN427" s="288"/>
      <c r="BO427" s="288"/>
      <c r="BP427" s="288"/>
      <c r="BQ427" s="288"/>
      <c r="BT427" s="288"/>
      <c r="BU427" s="288"/>
      <c r="BV427" s="288"/>
      <c r="BW427" s="288"/>
      <c r="BX427" s="288"/>
      <c r="CA427" s="288"/>
      <c r="CB427" s="288"/>
      <c r="CC427" s="288"/>
      <c r="CD427" s="288"/>
      <c r="CE427" s="288"/>
      <c r="CH427" s="288"/>
      <c r="CI427" s="288"/>
      <c r="CJ427" s="288"/>
      <c r="CK427" s="288"/>
      <c r="CL427" s="288"/>
      <c r="CO427" s="288"/>
      <c r="CP427" s="288"/>
      <c r="CQ427" s="288"/>
      <c r="CR427" s="288"/>
      <c r="CS427" s="288"/>
    </row>
    <row r="428" spans="3:97" x14ac:dyDescent="0.25">
      <c r="C428" s="333">
        <v>300</v>
      </c>
      <c r="D428" s="334">
        <v>0.87</v>
      </c>
      <c r="E428" s="334">
        <v>0.9</v>
      </c>
      <c r="F428" s="334">
        <v>0.92</v>
      </c>
      <c r="G428" s="335">
        <v>0.92</v>
      </c>
      <c r="H428" s="334">
        <v>0.9</v>
      </c>
      <c r="I428" s="334">
        <v>0.87</v>
      </c>
      <c r="J428" s="334">
        <v>0.81</v>
      </c>
      <c r="K428" s="334">
        <v>0.76</v>
      </c>
      <c r="L428" s="334">
        <v>0.69</v>
      </c>
      <c r="M428" s="334">
        <v>0.61</v>
      </c>
      <c r="P428" s="288"/>
      <c r="Q428" s="288"/>
      <c r="R428" s="288"/>
      <c r="S428" s="288"/>
      <c r="T428" s="288"/>
      <c r="W428" s="288"/>
      <c r="X428" s="288"/>
      <c r="Y428" s="288"/>
      <c r="Z428" s="288"/>
      <c r="AA428" s="288"/>
      <c r="AD428" s="288"/>
      <c r="AE428" s="288"/>
      <c r="AF428" s="288"/>
      <c r="AG428" s="288"/>
      <c r="AH428" s="288"/>
      <c r="AK428" s="288"/>
      <c r="AL428" s="288"/>
      <c r="AM428" s="288"/>
      <c r="AN428" s="288"/>
      <c r="AO428" s="288"/>
      <c r="AR428" s="288"/>
      <c r="AS428" s="288"/>
      <c r="AT428" s="288"/>
      <c r="AU428" s="288"/>
      <c r="AV428" s="288"/>
      <c r="AY428" s="288"/>
      <c r="AZ428" s="288"/>
      <c r="BA428" s="288"/>
      <c r="BB428" s="288"/>
      <c r="BC428" s="288"/>
      <c r="BF428" s="288"/>
      <c r="BG428" s="288"/>
      <c r="BH428" s="288"/>
      <c r="BI428" s="288"/>
      <c r="BJ428" s="288"/>
      <c r="BM428" s="288"/>
      <c r="BN428" s="288"/>
      <c r="BO428" s="288"/>
      <c r="BP428" s="288"/>
      <c r="BQ428" s="288"/>
      <c r="BT428" s="288"/>
      <c r="BU428" s="288"/>
      <c r="BV428" s="288"/>
      <c r="BW428" s="288"/>
      <c r="BX428" s="288"/>
      <c r="CA428" s="288"/>
      <c r="CB428" s="288"/>
      <c r="CC428" s="288"/>
      <c r="CD428" s="288"/>
      <c r="CE428" s="288"/>
      <c r="CH428" s="288"/>
      <c r="CI428" s="288"/>
      <c r="CJ428" s="288"/>
      <c r="CK428" s="288"/>
      <c r="CL428" s="288"/>
      <c r="CO428" s="288"/>
      <c r="CP428" s="288"/>
      <c r="CQ428" s="288"/>
      <c r="CR428" s="288"/>
      <c r="CS428" s="288"/>
    </row>
    <row r="429" spans="3:97" x14ac:dyDescent="0.25">
      <c r="C429" s="333">
        <v>310</v>
      </c>
      <c r="D429" s="334">
        <v>0.87</v>
      </c>
      <c r="E429" s="334">
        <v>0.91</v>
      </c>
      <c r="F429" s="334">
        <v>0.94</v>
      </c>
      <c r="G429" s="335">
        <v>0.94</v>
      </c>
      <c r="H429" s="334">
        <v>0.93</v>
      </c>
      <c r="I429" s="334">
        <v>0.89</v>
      </c>
      <c r="J429" s="334">
        <v>0.85</v>
      </c>
      <c r="K429" s="334">
        <v>0.78</v>
      </c>
      <c r="L429" s="334">
        <v>0.71</v>
      </c>
      <c r="M429" s="334">
        <v>0.62</v>
      </c>
      <c r="P429" s="288"/>
      <c r="Q429" s="288"/>
      <c r="R429" s="288"/>
      <c r="S429" s="288"/>
      <c r="T429" s="288"/>
      <c r="W429" s="288"/>
      <c r="X429" s="288"/>
      <c r="Y429" s="288"/>
      <c r="Z429" s="288"/>
      <c r="AA429" s="288"/>
      <c r="AD429" s="288"/>
      <c r="AE429" s="288"/>
      <c r="AF429" s="288"/>
      <c r="AG429" s="288"/>
      <c r="AH429" s="288"/>
      <c r="AK429" s="288"/>
      <c r="AL429" s="288"/>
      <c r="AM429" s="288"/>
      <c r="AN429" s="288"/>
      <c r="AO429" s="288"/>
      <c r="AR429" s="288"/>
      <c r="AS429" s="288"/>
      <c r="AT429" s="288"/>
      <c r="AU429" s="288"/>
      <c r="AV429" s="288"/>
      <c r="AY429" s="288"/>
      <c r="AZ429" s="288"/>
      <c r="BA429" s="288"/>
      <c r="BB429" s="288"/>
      <c r="BC429" s="288"/>
      <c r="BF429" s="288"/>
      <c r="BG429" s="288"/>
      <c r="BH429" s="288"/>
      <c r="BI429" s="288"/>
      <c r="BJ429" s="288"/>
      <c r="BM429" s="288"/>
      <c r="BN429" s="288"/>
      <c r="BO429" s="288"/>
      <c r="BP429" s="288"/>
      <c r="BQ429" s="288"/>
      <c r="BT429" s="288"/>
      <c r="BU429" s="288"/>
      <c r="BV429" s="288"/>
      <c r="BW429" s="288"/>
      <c r="BX429" s="288"/>
      <c r="CA429" s="288"/>
      <c r="CB429" s="288"/>
      <c r="CC429" s="288"/>
      <c r="CD429" s="288"/>
      <c r="CE429" s="288"/>
      <c r="CH429" s="288"/>
      <c r="CI429" s="288"/>
      <c r="CJ429" s="288"/>
      <c r="CK429" s="288"/>
      <c r="CL429" s="288"/>
      <c r="CO429" s="288"/>
      <c r="CP429" s="288"/>
      <c r="CQ429" s="288"/>
      <c r="CR429" s="288"/>
      <c r="CS429" s="288"/>
    </row>
    <row r="430" spans="3:97" x14ac:dyDescent="0.25">
      <c r="C430" s="333">
        <v>320</v>
      </c>
      <c r="D430" s="334">
        <v>0.87</v>
      </c>
      <c r="E430" s="334">
        <v>0.93</v>
      </c>
      <c r="F430" s="334">
        <v>0.95</v>
      </c>
      <c r="G430" s="335">
        <v>0.96</v>
      </c>
      <c r="H430" s="334">
        <v>0.95</v>
      </c>
      <c r="I430" s="334">
        <v>0.92</v>
      </c>
      <c r="J430" s="334">
        <v>0.87</v>
      </c>
      <c r="K430" s="334">
        <v>0.8</v>
      </c>
      <c r="L430" s="334">
        <v>0.72</v>
      </c>
      <c r="M430" s="334">
        <v>0.63</v>
      </c>
      <c r="P430" s="288"/>
      <c r="Q430" s="288"/>
      <c r="R430" s="288"/>
      <c r="S430" s="288"/>
      <c r="T430" s="288"/>
      <c r="W430" s="288"/>
      <c r="X430" s="288"/>
      <c r="Y430" s="288"/>
      <c r="Z430" s="288"/>
      <c r="AA430" s="288"/>
      <c r="AD430" s="288"/>
      <c r="AE430" s="288"/>
      <c r="AF430" s="288"/>
      <c r="AG430" s="288"/>
      <c r="AH430" s="288"/>
      <c r="AK430" s="288"/>
      <c r="AL430" s="288"/>
      <c r="AM430" s="288"/>
      <c r="AN430" s="288"/>
      <c r="AO430" s="288"/>
      <c r="AR430" s="288"/>
      <c r="AS430" s="288"/>
      <c r="AT430" s="288"/>
      <c r="AU430" s="288"/>
      <c r="AV430" s="288"/>
      <c r="AY430" s="288"/>
      <c r="AZ430" s="288"/>
      <c r="BA430" s="288"/>
      <c r="BB430" s="288"/>
      <c r="BC430" s="288"/>
      <c r="BF430" s="288"/>
      <c r="BG430" s="288"/>
      <c r="BH430" s="288"/>
      <c r="BI430" s="288"/>
      <c r="BJ430" s="288"/>
      <c r="BM430" s="288"/>
      <c r="BN430" s="288"/>
      <c r="BO430" s="288"/>
      <c r="BP430" s="288"/>
      <c r="BQ430" s="288"/>
      <c r="BT430" s="288"/>
      <c r="BU430" s="288"/>
      <c r="BV430" s="288"/>
      <c r="BW430" s="288"/>
      <c r="BX430" s="288"/>
      <c r="CA430" s="288"/>
      <c r="CB430" s="288"/>
      <c r="CC430" s="288"/>
      <c r="CD430" s="288"/>
      <c r="CE430" s="288"/>
      <c r="CH430" s="288"/>
      <c r="CI430" s="288"/>
      <c r="CJ430" s="288"/>
      <c r="CK430" s="288"/>
      <c r="CL430" s="288"/>
      <c r="CO430" s="288"/>
      <c r="CP430" s="288"/>
      <c r="CQ430" s="288"/>
      <c r="CR430" s="288"/>
      <c r="CS430" s="288"/>
    </row>
    <row r="431" spans="3:97" x14ac:dyDescent="0.25">
      <c r="C431" s="333">
        <v>330</v>
      </c>
      <c r="D431" s="334">
        <v>0.87</v>
      </c>
      <c r="E431" s="334">
        <v>0.93</v>
      </c>
      <c r="F431" s="334">
        <v>0.97</v>
      </c>
      <c r="G431" s="335">
        <v>0.98</v>
      </c>
      <c r="H431" s="334">
        <v>0.97</v>
      </c>
      <c r="I431" s="334">
        <v>0.94</v>
      </c>
      <c r="J431" s="334">
        <v>0.89</v>
      </c>
      <c r="K431" s="334">
        <v>0.82</v>
      </c>
      <c r="L431" s="334">
        <v>0.74</v>
      </c>
      <c r="M431" s="334">
        <v>0.64</v>
      </c>
      <c r="P431" s="288"/>
      <c r="Q431" s="288"/>
      <c r="R431" s="288"/>
      <c r="S431" s="288"/>
      <c r="T431" s="288"/>
      <c r="W431" s="288"/>
      <c r="X431" s="288"/>
      <c r="Y431" s="288"/>
      <c r="Z431" s="288"/>
      <c r="AA431" s="288"/>
      <c r="AD431" s="288"/>
      <c r="AE431" s="288"/>
      <c r="AF431" s="288"/>
      <c r="AG431" s="288"/>
      <c r="AH431" s="288"/>
      <c r="AK431" s="288"/>
      <c r="AL431" s="288"/>
      <c r="AM431" s="288"/>
      <c r="AN431" s="288"/>
      <c r="AO431" s="288"/>
      <c r="AR431" s="288"/>
      <c r="AS431" s="288"/>
      <c r="AT431" s="288"/>
      <c r="AU431" s="288"/>
      <c r="AV431" s="288"/>
      <c r="AY431" s="288"/>
      <c r="AZ431" s="288"/>
      <c r="BA431" s="288"/>
      <c r="BB431" s="288"/>
      <c r="BC431" s="288"/>
      <c r="BF431" s="288"/>
      <c r="BG431" s="288"/>
      <c r="BH431" s="288"/>
      <c r="BI431" s="288"/>
      <c r="BJ431" s="288"/>
      <c r="BM431" s="288"/>
      <c r="BN431" s="288"/>
      <c r="BO431" s="288"/>
      <c r="BP431" s="288"/>
      <c r="BQ431" s="288"/>
      <c r="BT431" s="288"/>
      <c r="BU431" s="288"/>
      <c r="BV431" s="288"/>
      <c r="BW431" s="288"/>
      <c r="BX431" s="288"/>
      <c r="CA431" s="288"/>
      <c r="CB431" s="288"/>
      <c r="CC431" s="288"/>
      <c r="CD431" s="288"/>
      <c r="CE431" s="288"/>
      <c r="CH431" s="288"/>
      <c r="CI431" s="288"/>
      <c r="CJ431" s="288"/>
      <c r="CK431" s="288"/>
      <c r="CL431" s="288"/>
      <c r="CO431" s="288"/>
      <c r="CP431" s="288"/>
      <c r="CQ431" s="288"/>
      <c r="CR431" s="288"/>
      <c r="CS431" s="288"/>
    </row>
    <row r="432" spans="3:97" x14ac:dyDescent="0.25">
      <c r="C432" s="333">
        <v>340</v>
      </c>
      <c r="D432" s="334">
        <v>0.87</v>
      </c>
      <c r="E432" s="334">
        <v>0.94</v>
      </c>
      <c r="F432" s="334">
        <v>0.97</v>
      </c>
      <c r="G432" s="335">
        <v>0.99</v>
      </c>
      <c r="H432" s="334">
        <v>0.98</v>
      </c>
      <c r="I432" s="334">
        <v>0.96</v>
      </c>
      <c r="J432" s="334">
        <v>0.9</v>
      </c>
      <c r="K432" s="334">
        <v>0.84</v>
      </c>
      <c r="L432" s="334">
        <v>0.75</v>
      </c>
      <c r="M432" s="334">
        <v>0.65</v>
      </c>
      <c r="P432" s="288"/>
      <c r="Q432" s="288"/>
      <c r="R432" s="288"/>
      <c r="S432" s="288"/>
      <c r="T432" s="288"/>
      <c r="W432" s="288"/>
      <c r="X432" s="288"/>
      <c r="Y432" s="288"/>
      <c r="Z432" s="288"/>
      <c r="AA432" s="288"/>
      <c r="AD432" s="288"/>
      <c r="AE432" s="288"/>
      <c r="AF432" s="288"/>
      <c r="AG432" s="288"/>
      <c r="AH432" s="288"/>
      <c r="AK432" s="288"/>
      <c r="AL432" s="288"/>
      <c r="AM432" s="288"/>
      <c r="AN432" s="288"/>
      <c r="AO432" s="288"/>
      <c r="AR432" s="288"/>
      <c r="AS432" s="288"/>
      <c r="AT432" s="288"/>
      <c r="AU432" s="288"/>
      <c r="AV432" s="288"/>
      <c r="AY432" s="288"/>
      <c r="AZ432" s="288"/>
      <c r="BA432" s="288"/>
      <c r="BB432" s="288"/>
      <c r="BC432" s="288"/>
      <c r="BF432" s="288"/>
      <c r="BG432" s="288"/>
      <c r="BH432" s="288"/>
      <c r="BI432" s="288"/>
      <c r="BJ432" s="288"/>
      <c r="BM432" s="288"/>
      <c r="BN432" s="288"/>
      <c r="BO432" s="288"/>
      <c r="BP432" s="288"/>
      <c r="BQ432" s="288"/>
      <c r="BT432" s="288"/>
      <c r="BU432" s="288"/>
      <c r="BV432" s="288"/>
      <c r="BW432" s="288"/>
      <c r="BX432" s="288"/>
      <c r="CA432" s="288"/>
      <c r="CB432" s="288"/>
      <c r="CC432" s="288"/>
      <c r="CD432" s="288"/>
      <c r="CE432" s="288"/>
      <c r="CH432" s="288"/>
      <c r="CI432" s="288"/>
      <c r="CJ432" s="288"/>
      <c r="CK432" s="288"/>
      <c r="CL432" s="288"/>
      <c r="CO432" s="288"/>
      <c r="CP432" s="288"/>
      <c r="CQ432" s="288"/>
      <c r="CR432" s="288"/>
      <c r="CS432" s="288"/>
    </row>
    <row r="433" spans="3:97" x14ac:dyDescent="0.25">
      <c r="C433" s="333">
        <v>350</v>
      </c>
      <c r="D433" s="334">
        <v>0.87</v>
      </c>
      <c r="E433" s="334">
        <v>0.94</v>
      </c>
      <c r="F433" s="334">
        <v>0.98</v>
      </c>
      <c r="G433" s="334">
        <v>1</v>
      </c>
      <c r="H433" s="334">
        <v>0.99</v>
      </c>
      <c r="I433" s="334">
        <v>0.97</v>
      </c>
      <c r="J433" s="334">
        <v>0.91</v>
      </c>
      <c r="K433" s="334">
        <v>0.84</v>
      </c>
      <c r="L433" s="334">
        <v>0.75</v>
      </c>
      <c r="M433" s="334">
        <v>0.65</v>
      </c>
      <c r="P433" s="288"/>
      <c r="Q433" s="288"/>
      <c r="R433" s="288"/>
      <c r="S433" s="288"/>
      <c r="T433" s="288"/>
      <c r="W433" s="288"/>
      <c r="X433" s="288"/>
      <c r="Y433" s="288"/>
      <c r="Z433" s="288"/>
      <c r="AA433" s="288"/>
      <c r="AD433" s="288"/>
      <c r="AE433" s="288"/>
      <c r="AF433" s="288"/>
      <c r="AG433" s="288"/>
      <c r="AH433" s="288"/>
      <c r="AK433" s="288"/>
      <c r="AL433" s="288"/>
      <c r="AM433" s="288"/>
      <c r="AN433" s="288"/>
      <c r="AO433" s="288"/>
      <c r="AR433" s="288"/>
      <c r="AS433" s="288"/>
      <c r="AT433" s="288"/>
      <c r="AU433" s="288"/>
      <c r="AV433" s="288"/>
      <c r="AY433" s="288"/>
      <c r="AZ433" s="288"/>
      <c r="BA433" s="288"/>
      <c r="BB433" s="288"/>
      <c r="BC433" s="288"/>
      <c r="BF433" s="288"/>
      <c r="BG433" s="288"/>
      <c r="BH433" s="288"/>
      <c r="BI433" s="288"/>
      <c r="BJ433" s="288"/>
      <c r="BM433" s="288"/>
      <c r="BN433" s="288"/>
      <c r="BO433" s="288"/>
      <c r="BP433" s="288"/>
      <c r="BQ433" s="288"/>
      <c r="BT433" s="288"/>
      <c r="BU433" s="288"/>
      <c r="BV433" s="288"/>
      <c r="BW433" s="288"/>
      <c r="BX433" s="288"/>
      <c r="CA433" s="288"/>
      <c r="CB433" s="288"/>
      <c r="CC433" s="288"/>
      <c r="CD433" s="288"/>
      <c r="CE433" s="288"/>
      <c r="CH433" s="288"/>
      <c r="CI433" s="288"/>
      <c r="CJ433" s="288"/>
      <c r="CK433" s="288"/>
      <c r="CL433" s="288"/>
      <c r="CO433" s="288"/>
      <c r="CP433" s="288"/>
      <c r="CQ433" s="288"/>
      <c r="CR433" s="288"/>
      <c r="CS433" s="288"/>
    </row>
    <row r="434" spans="3:97" x14ac:dyDescent="0.25">
      <c r="F434" s="260"/>
      <c r="P434" s="288"/>
      <c r="Q434" s="288"/>
      <c r="R434" s="288"/>
      <c r="S434" s="288"/>
      <c r="T434" s="288"/>
      <c r="W434" s="288"/>
      <c r="X434" s="288"/>
      <c r="Y434" s="288"/>
      <c r="Z434" s="288"/>
      <c r="AA434" s="288"/>
      <c r="AD434" s="288"/>
      <c r="AE434" s="288"/>
      <c r="AF434" s="288"/>
      <c r="AG434" s="288"/>
      <c r="AH434" s="288"/>
      <c r="AK434" s="288"/>
      <c r="AL434" s="288"/>
      <c r="AM434" s="288"/>
      <c r="AN434" s="288"/>
      <c r="AO434" s="288"/>
      <c r="AR434" s="288"/>
      <c r="AS434" s="288"/>
      <c r="AT434" s="288"/>
      <c r="AU434" s="288"/>
      <c r="AV434" s="288"/>
      <c r="AY434" s="288"/>
      <c r="AZ434" s="288"/>
      <c r="BA434" s="288"/>
      <c r="BB434" s="288"/>
      <c r="BC434" s="288"/>
      <c r="BF434" s="288"/>
      <c r="BG434" s="288"/>
      <c r="BH434" s="288"/>
      <c r="BI434" s="288"/>
      <c r="BJ434" s="288"/>
      <c r="BM434" s="288"/>
      <c r="BN434" s="288"/>
      <c r="BO434" s="288"/>
      <c r="BP434" s="288"/>
      <c r="BQ434" s="288"/>
      <c r="BT434" s="288"/>
      <c r="BU434" s="288"/>
      <c r="BV434" s="288"/>
      <c r="BW434" s="288"/>
      <c r="BX434" s="288"/>
      <c r="CA434" s="288"/>
      <c r="CB434" s="288"/>
      <c r="CC434" s="288"/>
      <c r="CD434" s="288"/>
      <c r="CE434" s="288"/>
      <c r="CH434" s="288"/>
      <c r="CI434" s="288"/>
      <c r="CJ434" s="288"/>
      <c r="CK434" s="288"/>
      <c r="CL434" s="288"/>
      <c r="CO434" s="288"/>
      <c r="CP434" s="288"/>
      <c r="CQ434" s="288"/>
      <c r="CR434" s="288"/>
      <c r="CS434" s="288"/>
    </row>
    <row r="435" spans="3:97" x14ac:dyDescent="0.25">
      <c r="F435" s="260"/>
      <c r="P435" s="288"/>
      <c r="Q435" s="288"/>
      <c r="R435" s="288"/>
      <c r="S435" s="288"/>
      <c r="T435" s="288"/>
      <c r="W435" s="288"/>
      <c r="X435" s="288"/>
      <c r="Y435" s="288"/>
      <c r="Z435" s="288"/>
      <c r="AA435" s="288"/>
      <c r="AD435" s="288"/>
      <c r="AE435" s="288"/>
      <c r="AF435" s="288"/>
      <c r="AG435" s="288"/>
      <c r="AH435" s="288"/>
      <c r="AK435" s="288"/>
      <c r="AL435" s="288"/>
      <c r="AM435" s="288"/>
      <c r="AN435" s="288"/>
      <c r="AO435" s="288"/>
      <c r="AR435" s="288"/>
      <c r="AS435" s="288"/>
      <c r="AT435" s="288"/>
      <c r="AU435" s="288"/>
      <c r="AV435" s="288"/>
      <c r="AY435" s="288"/>
      <c r="AZ435" s="288"/>
      <c r="BA435" s="288"/>
      <c r="BB435" s="288"/>
      <c r="BC435" s="288"/>
      <c r="BF435" s="288"/>
      <c r="BG435" s="288"/>
      <c r="BH435" s="288"/>
      <c r="BI435" s="288"/>
      <c r="BJ435" s="288"/>
      <c r="BM435" s="288"/>
      <c r="BN435" s="288"/>
      <c r="BO435" s="288"/>
      <c r="BP435" s="288"/>
      <c r="BQ435" s="288"/>
      <c r="BT435" s="288"/>
      <c r="BU435" s="288"/>
      <c r="BV435" s="288"/>
      <c r="BW435" s="288"/>
      <c r="BX435" s="288"/>
      <c r="CA435" s="288"/>
      <c r="CB435" s="288"/>
      <c r="CC435" s="288"/>
      <c r="CD435" s="288"/>
      <c r="CE435" s="288"/>
      <c r="CH435" s="288"/>
      <c r="CI435" s="288"/>
      <c r="CJ435" s="288"/>
      <c r="CK435" s="288"/>
      <c r="CL435" s="288"/>
      <c r="CO435" s="288"/>
      <c r="CP435" s="288"/>
      <c r="CQ435" s="288"/>
      <c r="CR435" s="288"/>
      <c r="CS435" s="288"/>
    </row>
    <row r="436" spans="3:97" x14ac:dyDescent="0.25">
      <c r="C436" s="415" t="s">
        <v>227</v>
      </c>
      <c r="D436" s="415"/>
      <c r="E436" s="415"/>
      <c r="F436" s="415"/>
      <c r="G436" s="415"/>
      <c r="H436" s="415"/>
      <c r="I436" s="415"/>
      <c r="J436" s="415"/>
      <c r="K436" s="415"/>
      <c r="L436" s="415"/>
      <c r="M436" s="415"/>
      <c r="O436" s="279" t="s">
        <v>500</v>
      </c>
    </row>
    <row r="437" spans="3:97" ht="15.75" customHeight="1" x14ac:dyDescent="0.25">
      <c r="C437" s="416" t="s">
        <v>221</v>
      </c>
      <c r="D437" s="416" t="s">
        <v>222</v>
      </c>
      <c r="E437" s="416"/>
      <c r="F437" s="416"/>
      <c r="G437" s="416"/>
      <c r="H437" s="416"/>
      <c r="I437" s="416"/>
      <c r="J437" s="416"/>
      <c r="K437" s="416"/>
      <c r="L437" s="416"/>
      <c r="M437" s="416"/>
      <c r="O437" s="415" t="str">
        <f>O436&amp;" - Janurary"</f>
        <v>MELBOURNE - Janurary</v>
      </c>
      <c r="P437" s="415"/>
      <c r="Q437" s="415"/>
      <c r="R437" s="415"/>
      <c r="S437" s="415"/>
      <c r="T437" s="415"/>
      <c r="V437" s="415" t="str">
        <f>O436&amp;" - February"</f>
        <v>MELBOURNE - February</v>
      </c>
      <c r="W437" s="415"/>
      <c r="X437" s="415"/>
      <c r="Y437" s="415"/>
      <c r="Z437" s="415"/>
      <c r="AA437" s="415"/>
      <c r="AC437" s="415" t="str">
        <f>O436&amp;" - March"</f>
        <v>MELBOURNE - March</v>
      </c>
      <c r="AD437" s="415"/>
      <c r="AE437" s="415"/>
      <c r="AF437" s="415"/>
      <c r="AG437" s="415"/>
      <c r="AH437" s="415"/>
      <c r="AJ437" s="415" t="str">
        <f>O436&amp;" - April"</f>
        <v>MELBOURNE - April</v>
      </c>
      <c r="AK437" s="415"/>
      <c r="AL437" s="415"/>
      <c r="AM437" s="415"/>
      <c r="AN437" s="415"/>
      <c r="AO437" s="415"/>
      <c r="AQ437" s="415" t="str">
        <f>O436&amp;" - May"</f>
        <v>MELBOURNE - May</v>
      </c>
      <c r="AR437" s="415"/>
      <c r="AS437" s="415"/>
      <c r="AT437" s="415"/>
      <c r="AU437" s="415"/>
      <c r="AV437" s="415"/>
      <c r="AX437" s="415" t="str">
        <f>O436&amp;" - June"</f>
        <v>MELBOURNE - June</v>
      </c>
      <c r="AY437" s="415"/>
      <c r="AZ437" s="415"/>
      <c r="BA437" s="415"/>
      <c r="BB437" s="415"/>
      <c r="BC437" s="415"/>
      <c r="BE437" s="415" t="str">
        <f>O436&amp;" - July"</f>
        <v>MELBOURNE - July</v>
      </c>
      <c r="BF437" s="415"/>
      <c r="BG437" s="415"/>
      <c r="BH437" s="415"/>
      <c r="BI437" s="415"/>
      <c r="BJ437" s="415"/>
      <c r="BL437" s="415" t="str">
        <f>O436&amp;" - August"</f>
        <v>MELBOURNE - August</v>
      </c>
      <c r="BM437" s="415"/>
      <c r="BN437" s="415"/>
      <c r="BO437" s="415"/>
      <c r="BP437" s="415"/>
      <c r="BQ437" s="415"/>
      <c r="BS437" s="415" t="str">
        <f>O436&amp;" - September"</f>
        <v>MELBOURNE - September</v>
      </c>
      <c r="BT437" s="415"/>
      <c r="BU437" s="415"/>
      <c r="BV437" s="415"/>
      <c r="BW437" s="415"/>
      <c r="BX437" s="415"/>
      <c r="BZ437" s="415" t="str">
        <f>O436&amp;" - October"</f>
        <v>MELBOURNE - October</v>
      </c>
      <c r="CA437" s="415"/>
      <c r="CB437" s="415"/>
      <c r="CC437" s="415"/>
      <c r="CD437" s="415"/>
      <c r="CE437" s="415"/>
      <c r="CG437" s="415" t="str">
        <f>O436&amp;" - November"</f>
        <v>MELBOURNE - November</v>
      </c>
      <c r="CH437" s="415"/>
      <c r="CI437" s="415"/>
      <c r="CJ437" s="415"/>
      <c r="CK437" s="415"/>
      <c r="CL437" s="415"/>
      <c r="CN437" s="415" t="str">
        <f>O436&amp;" - December"</f>
        <v>MELBOURNE - December</v>
      </c>
      <c r="CO437" s="415"/>
      <c r="CP437" s="415"/>
      <c r="CQ437" s="415"/>
      <c r="CR437" s="415"/>
      <c r="CS437" s="415"/>
    </row>
    <row r="438" spans="3:97" ht="15.75" customHeight="1" x14ac:dyDescent="0.25">
      <c r="C438" s="416"/>
      <c r="D438" s="333">
        <v>0</v>
      </c>
      <c r="E438" s="333">
        <v>10</v>
      </c>
      <c r="F438" s="333">
        <v>20</v>
      </c>
      <c r="G438" s="333">
        <v>30</v>
      </c>
      <c r="H438" s="333">
        <v>40</v>
      </c>
      <c r="I438" s="333">
        <v>50</v>
      </c>
      <c r="J438" s="333">
        <v>60</v>
      </c>
      <c r="K438" s="333">
        <v>70</v>
      </c>
      <c r="L438" s="333">
        <v>80</v>
      </c>
      <c r="M438" s="333">
        <v>90</v>
      </c>
      <c r="O438" s="416" t="s">
        <v>221</v>
      </c>
      <c r="P438" s="416" t="s">
        <v>222</v>
      </c>
      <c r="Q438" s="416"/>
      <c r="R438" s="416"/>
      <c r="S438" s="416"/>
      <c r="T438" s="416"/>
      <c r="V438" s="416" t="s">
        <v>221</v>
      </c>
      <c r="W438" s="416" t="s">
        <v>222</v>
      </c>
      <c r="X438" s="416"/>
      <c r="Y438" s="416"/>
      <c r="Z438" s="416"/>
      <c r="AA438" s="416"/>
      <c r="AC438" s="416" t="s">
        <v>221</v>
      </c>
      <c r="AD438" s="416" t="s">
        <v>222</v>
      </c>
      <c r="AE438" s="416"/>
      <c r="AF438" s="416"/>
      <c r="AG438" s="416"/>
      <c r="AH438" s="416"/>
      <c r="AJ438" s="416" t="s">
        <v>221</v>
      </c>
      <c r="AK438" s="416" t="s">
        <v>222</v>
      </c>
      <c r="AL438" s="416"/>
      <c r="AM438" s="416"/>
      <c r="AN438" s="416"/>
      <c r="AO438" s="416"/>
      <c r="AQ438" s="416" t="s">
        <v>221</v>
      </c>
      <c r="AR438" s="416" t="s">
        <v>222</v>
      </c>
      <c r="AS438" s="416"/>
      <c r="AT438" s="416"/>
      <c r="AU438" s="416"/>
      <c r="AV438" s="416"/>
      <c r="AX438" s="416" t="s">
        <v>221</v>
      </c>
      <c r="AY438" s="416" t="s">
        <v>222</v>
      </c>
      <c r="AZ438" s="416"/>
      <c r="BA438" s="416"/>
      <c r="BB438" s="416"/>
      <c r="BC438" s="416"/>
      <c r="BE438" s="416" t="s">
        <v>221</v>
      </c>
      <c r="BF438" s="416" t="s">
        <v>222</v>
      </c>
      <c r="BG438" s="416"/>
      <c r="BH438" s="416"/>
      <c r="BI438" s="416"/>
      <c r="BJ438" s="416"/>
      <c r="BL438" s="416" t="s">
        <v>221</v>
      </c>
      <c r="BM438" s="416" t="s">
        <v>222</v>
      </c>
      <c r="BN438" s="416"/>
      <c r="BO438" s="416"/>
      <c r="BP438" s="416"/>
      <c r="BQ438" s="416"/>
      <c r="BS438" s="416" t="s">
        <v>221</v>
      </c>
      <c r="BT438" s="416" t="s">
        <v>222</v>
      </c>
      <c r="BU438" s="416"/>
      <c r="BV438" s="416"/>
      <c r="BW438" s="416"/>
      <c r="BX438" s="416"/>
      <c r="BZ438" s="416" t="s">
        <v>221</v>
      </c>
      <c r="CA438" s="416" t="s">
        <v>222</v>
      </c>
      <c r="CB438" s="416"/>
      <c r="CC438" s="416"/>
      <c r="CD438" s="416"/>
      <c r="CE438" s="416"/>
      <c r="CG438" s="416" t="s">
        <v>221</v>
      </c>
      <c r="CH438" s="416" t="s">
        <v>222</v>
      </c>
      <c r="CI438" s="416"/>
      <c r="CJ438" s="416"/>
      <c r="CK438" s="416"/>
      <c r="CL438" s="416"/>
      <c r="CN438" s="416" t="s">
        <v>221</v>
      </c>
      <c r="CO438" s="416" t="s">
        <v>222</v>
      </c>
      <c r="CP438" s="416"/>
      <c r="CQ438" s="416"/>
      <c r="CR438" s="416"/>
      <c r="CS438" s="416"/>
    </row>
    <row r="439" spans="3:97" x14ac:dyDescent="0.25">
      <c r="C439" s="333">
        <v>0</v>
      </c>
      <c r="D439" s="334">
        <v>0.86</v>
      </c>
      <c r="E439" s="334">
        <v>0.93</v>
      </c>
      <c r="F439" s="334">
        <v>0.98</v>
      </c>
      <c r="G439" s="334">
        <v>1</v>
      </c>
      <c r="H439" s="334">
        <v>1</v>
      </c>
      <c r="I439" s="334">
        <v>0.98</v>
      </c>
      <c r="J439" s="334">
        <v>0.93</v>
      </c>
      <c r="K439" s="334">
        <v>0.86</v>
      </c>
      <c r="L439" s="334">
        <v>0.77</v>
      </c>
      <c r="M439" s="334">
        <v>0.67</v>
      </c>
      <c r="O439" s="416"/>
      <c r="P439" s="333">
        <v>0</v>
      </c>
      <c r="Q439" s="333">
        <v>10</v>
      </c>
      <c r="R439" s="333">
        <v>20</v>
      </c>
      <c r="S439" s="333">
        <v>30</v>
      </c>
      <c r="T439" s="333">
        <v>40</v>
      </c>
      <c r="V439" s="416"/>
      <c r="W439" s="333">
        <v>0</v>
      </c>
      <c r="X439" s="333">
        <v>10</v>
      </c>
      <c r="Y439" s="333">
        <v>20</v>
      </c>
      <c r="Z439" s="333">
        <v>30</v>
      </c>
      <c r="AA439" s="333">
        <v>40</v>
      </c>
      <c r="AC439" s="416"/>
      <c r="AD439" s="333">
        <v>0</v>
      </c>
      <c r="AE439" s="333">
        <v>10</v>
      </c>
      <c r="AF439" s="333">
        <v>20</v>
      </c>
      <c r="AG439" s="333">
        <v>30</v>
      </c>
      <c r="AH439" s="333">
        <v>40</v>
      </c>
      <c r="AJ439" s="416"/>
      <c r="AK439" s="333">
        <v>0</v>
      </c>
      <c r="AL439" s="333">
        <v>10</v>
      </c>
      <c r="AM439" s="333">
        <v>20</v>
      </c>
      <c r="AN439" s="333">
        <v>30</v>
      </c>
      <c r="AO439" s="333">
        <v>40</v>
      </c>
      <c r="AQ439" s="416"/>
      <c r="AR439" s="333">
        <v>0</v>
      </c>
      <c r="AS439" s="333">
        <v>10</v>
      </c>
      <c r="AT439" s="333">
        <v>20</v>
      </c>
      <c r="AU439" s="333">
        <v>30</v>
      </c>
      <c r="AV439" s="333">
        <v>40</v>
      </c>
      <c r="AX439" s="416"/>
      <c r="AY439" s="333">
        <v>0</v>
      </c>
      <c r="AZ439" s="333">
        <v>10</v>
      </c>
      <c r="BA439" s="333">
        <v>20</v>
      </c>
      <c r="BB439" s="333">
        <v>30</v>
      </c>
      <c r="BC439" s="333">
        <v>40</v>
      </c>
      <c r="BE439" s="416"/>
      <c r="BF439" s="333">
        <v>0</v>
      </c>
      <c r="BG439" s="333">
        <v>10</v>
      </c>
      <c r="BH439" s="333">
        <v>20</v>
      </c>
      <c r="BI439" s="333">
        <v>30</v>
      </c>
      <c r="BJ439" s="333">
        <v>40</v>
      </c>
      <c r="BL439" s="416"/>
      <c r="BM439" s="333">
        <v>0</v>
      </c>
      <c r="BN439" s="333">
        <v>10</v>
      </c>
      <c r="BO439" s="333">
        <v>20</v>
      </c>
      <c r="BP439" s="333">
        <v>30</v>
      </c>
      <c r="BQ439" s="333">
        <v>40</v>
      </c>
      <c r="BS439" s="416"/>
      <c r="BT439" s="333">
        <v>0</v>
      </c>
      <c r="BU439" s="333">
        <v>10</v>
      </c>
      <c r="BV439" s="333">
        <v>20</v>
      </c>
      <c r="BW439" s="333">
        <v>30</v>
      </c>
      <c r="BX439" s="333">
        <v>40</v>
      </c>
      <c r="BZ439" s="416"/>
      <c r="CA439" s="333">
        <v>0</v>
      </c>
      <c r="CB439" s="333">
        <v>10</v>
      </c>
      <c r="CC439" s="333">
        <v>20</v>
      </c>
      <c r="CD439" s="333">
        <v>30</v>
      </c>
      <c r="CE439" s="333">
        <v>40</v>
      </c>
      <c r="CG439" s="416"/>
      <c r="CH439" s="333">
        <v>0</v>
      </c>
      <c r="CI439" s="333">
        <v>10</v>
      </c>
      <c r="CJ439" s="333">
        <v>20</v>
      </c>
      <c r="CK439" s="333">
        <v>30</v>
      </c>
      <c r="CL439" s="333">
        <v>40</v>
      </c>
      <c r="CN439" s="416"/>
      <c r="CO439" s="333">
        <v>0</v>
      </c>
      <c r="CP439" s="333">
        <v>10</v>
      </c>
      <c r="CQ439" s="333">
        <v>20</v>
      </c>
      <c r="CR439" s="333">
        <v>30</v>
      </c>
      <c r="CS439" s="333">
        <v>40</v>
      </c>
    </row>
    <row r="440" spans="3:97" x14ac:dyDescent="0.25">
      <c r="C440" s="333">
        <v>10</v>
      </c>
      <c r="D440" s="334">
        <v>0.86</v>
      </c>
      <c r="E440" s="334">
        <v>0.92</v>
      </c>
      <c r="F440" s="334">
        <v>0.97</v>
      </c>
      <c r="G440" s="335">
        <v>0.99</v>
      </c>
      <c r="H440" s="335">
        <v>0.99</v>
      </c>
      <c r="I440" s="334">
        <v>0.97</v>
      </c>
      <c r="J440" s="334">
        <v>0.92</v>
      </c>
      <c r="K440" s="334">
        <v>0.85</v>
      </c>
      <c r="L440" s="334">
        <v>0.77</v>
      </c>
      <c r="M440" s="334">
        <v>0.67</v>
      </c>
      <c r="O440" s="333">
        <v>270</v>
      </c>
      <c r="P440" s="334">
        <v>1</v>
      </c>
      <c r="Q440" s="334">
        <v>1.01</v>
      </c>
      <c r="R440" s="334">
        <v>1</v>
      </c>
      <c r="S440" s="334">
        <v>0.98</v>
      </c>
      <c r="T440" s="334">
        <v>0.95</v>
      </c>
      <c r="V440" s="333">
        <v>270</v>
      </c>
      <c r="W440" s="334">
        <v>1</v>
      </c>
      <c r="X440" s="334">
        <v>1.01</v>
      </c>
      <c r="Y440" s="334">
        <v>1.01</v>
      </c>
      <c r="Z440" s="334">
        <v>0.99</v>
      </c>
      <c r="AA440" s="334">
        <v>0.96</v>
      </c>
      <c r="AC440" s="333">
        <v>270</v>
      </c>
      <c r="AD440" s="334">
        <v>1</v>
      </c>
      <c r="AE440" s="334">
        <v>1.02</v>
      </c>
      <c r="AF440" s="334">
        <v>1.01</v>
      </c>
      <c r="AG440" s="334">
        <v>1</v>
      </c>
      <c r="AH440" s="334">
        <v>0.98</v>
      </c>
      <c r="AJ440" s="333">
        <v>270</v>
      </c>
      <c r="AK440" s="334">
        <v>1</v>
      </c>
      <c r="AL440" s="334">
        <v>1.02</v>
      </c>
      <c r="AM440" s="334">
        <v>1.02</v>
      </c>
      <c r="AN440" s="334">
        <v>1.01</v>
      </c>
      <c r="AO440" s="334">
        <v>0.99</v>
      </c>
      <c r="AQ440" s="333">
        <v>270</v>
      </c>
      <c r="AR440" s="334">
        <v>1</v>
      </c>
      <c r="AS440" s="334">
        <v>1.01</v>
      </c>
      <c r="AT440" s="334">
        <v>1.02</v>
      </c>
      <c r="AU440" s="334">
        <v>1.02</v>
      </c>
      <c r="AV440" s="334">
        <v>1.01</v>
      </c>
      <c r="AX440" s="333">
        <v>270</v>
      </c>
      <c r="AY440" s="334">
        <v>1</v>
      </c>
      <c r="AZ440" s="334">
        <v>1.01</v>
      </c>
      <c r="BA440" s="334">
        <v>1.03</v>
      </c>
      <c r="BB440" s="334">
        <v>1.01</v>
      </c>
      <c r="BC440" s="334">
        <v>1.01</v>
      </c>
      <c r="BE440" s="333">
        <v>270</v>
      </c>
      <c r="BF440" s="334">
        <v>1</v>
      </c>
      <c r="BG440" s="334">
        <v>1.01</v>
      </c>
      <c r="BH440" s="334">
        <v>1.01</v>
      </c>
      <c r="BI440" s="334">
        <v>1.02</v>
      </c>
      <c r="BJ440" s="334">
        <v>1.01</v>
      </c>
      <c r="BL440" s="333">
        <v>270</v>
      </c>
      <c r="BM440" s="334">
        <v>1</v>
      </c>
      <c r="BN440" s="334">
        <v>1.01</v>
      </c>
      <c r="BO440" s="334">
        <v>1.02</v>
      </c>
      <c r="BP440" s="334">
        <v>1.01</v>
      </c>
      <c r="BQ440" s="334">
        <v>0.99</v>
      </c>
      <c r="BS440" s="333">
        <v>270</v>
      </c>
      <c r="BT440" s="334">
        <v>1</v>
      </c>
      <c r="BU440" s="334">
        <v>1.01</v>
      </c>
      <c r="BV440" s="334">
        <v>1.01</v>
      </c>
      <c r="BW440" s="334">
        <v>1.01</v>
      </c>
      <c r="BX440" s="334">
        <v>0.99</v>
      </c>
      <c r="BZ440" s="333">
        <v>270</v>
      </c>
      <c r="CA440" s="334">
        <v>1</v>
      </c>
      <c r="CB440" s="334">
        <v>1.01</v>
      </c>
      <c r="CC440" s="334">
        <v>1.01</v>
      </c>
      <c r="CD440" s="334">
        <v>1</v>
      </c>
      <c r="CE440" s="334">
        <v>0.97</v>
      </c>
      <c r="CG440" s="333">
        <v>270</v>
      </c>
      <c r="CH440" s="334">
        <v>1</v>
      </c>
      <c r="CI440" s="334">
        <v>1.01</v>
      </c>
      <c r="CJ440" s="334">
        <v>1</v>
      </c>
      <c r="CK440" s="334">
        <v>0.98</v>
      </c>
      <c r="CL440" s="334">
        <v>0.95</v>
      </c>
      <c r="CN440" s="333">
        <v>270</v>
      </c>
      <c r="CO440" s="334">
        <v>1</v>
      </c>
      <c r="CP440" s="334">
        <v>1.01</v>
      </c>
      <c r="CQ440" s="334">
        <v>1</v>
      </c>
      <c r="CR440" s="334">
        <v>0.97</v>
      </c>
      <c r="CS440" s="334">
        <v>0.93</v>
      </c>
    </row>
    <row r="441" spans="3:97" x14ac:dyDescent="0.25">
      <c r="C441" s="333">
        <v>20</v>
      </c>
      <c r="D441" s="334">
        <v>0.86</v>
      </c>
      <c r="E441" s="334">
        <v>0.92</v>
      </c>
      <c r="F441" s="334">
        <v>0.96</v>
      </c>
      <c r="G441" s="335">
        <v>0.99</v>
      </c>
      <c r="H441" s="335">
        <v>0.98</v>
      </c>
      <c r="I441" s="334">
        <v>0.96</v>
      </c>
      <c r="J441" s="334">
        <v>0.91</v>
      </c>
      <c r="K441" s="334">
        <v>0.84</v>
      </c>
      <c r="L441" s="334">
        <v>0.76</v>
      </c>
      <c r="M441" s="334">
        <v>0.67</v>
      </c>
      <c r="O441" s="333">
        <v>280</v>
      </c>
      <c r="P441" s="334">
        <v>1</v>
      </c>
      <c r="Q441" s="334">
        <v>1.02</v>
      </c>
      <c r="R441" s="334">
        <v>1.01</v>
      </c>
      <c r="S441" s="334">
        <v>0.99</v>
      </c>
      <c r="T441" s="334">
        <v>0.96</v>
      </c>
      <c r="V441" s="333">
        <v>280</v>
      </c>
      <c r="W441" s="334">
        <v>1</v>
      </c>
      <c r="X441" s="334">
        <v>1.02</v>
      </c>
      <c r="Y441" s="334">
        <v>1.02</v>
      </c>
      <c r="Z441" s="334">
        <v>1.01</v>
      </c>
      <c r="AA441" s="334">
        <v>0.98</v>
      </c>
      <c r="AC441" s="333">
        <v>280</v>
      </c>
      <c r="AD441" s="334">
        <v>1</v>
      </c>
      <c r="AE441" s="334">
        <v>1.03</v>
      </c>
      <c r="AF441" s="334">
        <v>1.04</v>
      </c>
      <c r="AG441" s="334">
        <v>1.04</v>
      </c>
      <c r="AH441" s="334">
        <v>1.03</v>
      </c>
      <c r="AJ441" s="333">
        <v>280</v>
      </c>
      <c r="AK441" s="334">
        <v>1</v>
      </c>
      <c r="AL441" s="334">
        <v>1.04</v>
      </c>
      <c r="AM441" s="334">
        <v>1.06</v>
      </c>
      <c r="AN441" s="334">
        <v>1.07</v>
      </c>
      <c r="AO441" s="334">
        <v>1.07</v>
      </c>
      <c r="AQ441" s="333">
        <v>280</v>
      </c>
      <c r="AR441" s="334">
        <v>1</v>
      </c>
      <c r="AS441" s="334">
        <v>1.04</v>
      </c>
      <c r="AT441" s="334">
        <v>1.0900000000000001</v>
      </c>
      <c r="AU441" s="334">
        <v>1.1100000000000001</v>
      </c>
      <c r="AV441" s="334">
        <v>1.1200000000000001</v>
      </c>
      <c r="AX441" s="333">
        <v>280</v>
      </c>
      <c r="AY441" s="334">
        <v>1</v>
      </c>
      <c r="AZ441" s="334">
        <v>1.06</v>
      </c>
      <c r="BA441" s="334">
        <v>1.0900000000000001</v>
      </c>
      <c r="BB441" s="334">
        <v>1.1299999999999999</v>
      </c>
      <c r="BC441" s="334">
        <v>1.1299999999999999</v>
      </c>
      <c r="BE441" s="333">
        <v>280</v>
      </c>
      <c r="BF441" s="334">
        <v>1</v>
      </c>
      <c r="BG441" s="334">
        <v>1.05</v>
      </c>
      <c r="BH441" s="334">
        <v>1.08</v>
      </c>
      <c r="BI441" s="334">
        <v>1.1100000000000001</v>
      </c>
      <c r="BJ441" s="334">
        <v>1.1299999999999999</v>
      </c>
      <c r="BL441" s="333">
        <v>280</v>
      </c>
      <c r="BM441" s="334">
        <v>1</v>
      </c>
      <c r="BN441" s="334">
        <v>1.04</v>
      </c>
      <c r="BO441" s="334">
        <v>1.07</v>
      </c>
      <c r="BP441" s="334">
        <v>1.08</v>
      </c>
      <c r="BQ441" s="334">
        <v>1.0900000000000001</v>
      </c>
      <c r="BS441" s="333">
        <v>280</v>
      </c>
      <c r="BT441" s="334">
        <v>1</v>
      </c>
      <c r="BU441" s="334">
        <v>1.03</v>
      </c>
      <c r="BV441" s="334">
        <v>1.05</v>
      </c>
      <c r="BW441" s="334">
        <v>1.05</v>
      </c>
      <c r="BX441" s="334">
        <v>1.04</v>
      </c>
      <c r="BZ441" s="333">
        <v>280</v>
      </c>
      <c r="CA441" s="334">
        <v>1</v>
      </c>
      <c r="CB441" s="334">
        <v>1.02</v>
      </c>
      <c r="CC441" s="334">
        <v>1.03</v>
      </c>
      <c r="CD441" s="334">
        <v>1.02</v>
      </c>
      <c r="CE441" s="334">
        <v>1</v>
      </c>
      <c r="CG441" s="333">
        <v>280</v>
      </c>
      <c r="CH441" s="334">
        <v>1</v>
      </c>
      <c r="CI441" s="334">
        <v>1.01</v>
      </c>
      <c r="CJ441" s="334">
        <v>1.01</v>
      </c>
      <c r="CK441" s="334">
        <v>1</v>
      </c>
      <c r="CL441" s="334">
        <v>0.97</v>
      </c>
      <c r="CN441" s="333">
        <v>280</v>
      </c>
      <c r="CO441" s="334">
        <v>1</v>
      </c>
      <c r="CP441" s="334">
        <v>1.01</v>
      </c>
      <c r="CQ441" s="334">
        <v>1</v>
      </c>
      <c r="CR441" s="334">
        <v>0.98</v>
      </c>
      <c r="CS441" s="334">
        <v>0.94</v>
      </c>
    </row>
    <row r="442" spans="3:97" x14ac:dyDescent="0.25">
      <c r="C442" s="333">
        <v>30</v>
      </c>
      <c r="D442" s="334">
        <v>0.86</v>
      </c>
      <c r="E442" s="334">
        <v>0.92</v>
      </c>
      <c r="F442" s="334">
        <v>0.95</v>
      </c>
      <c r="G442" s="335">
        <v>0.97</v>
      </c>
      <c r="H442" s="335">
        <v>0.96</v>
      </c>
      <c r="I442" s="334">
        <v>0.94</v>
      </c>
      <c r="J442" s="334">
        <v>0.89</v>
      </c>
      <c r="K442" s="334">
        <v>0.83</v>
      </c>
      <c r="L442" s="334">
        <v>0.75</v>
      </c>
      <c r="M442" s="334">
        <v>0.66</v>
      </c>
      <c r="O442" s="333">
        <v>290</v>
      </c>
      <c r="P442" s="334">
        <v>1</v>
      </c>
      <c r="Q442" s="334">
        <v>1.02</v>
      </c>
      <c r="R442" s="334">
        <v>1.02</v>
      </c>
      <c r="S442" s="334">
        <v>1</v>
      </c>
      <c r="T442" s="334">
        <v>0.97</v>
      </c>
      <c r="V442" s="333">
        <v>290</v>
      </c>
      <c r="W442" s="334">
        <v>1</v>
      </c>
      <c r="X442" s="334">
        <v>1.03</v>
      </c>
      <c r="Y442" s="334">
        <v>1.04</v>
      </c>
      <c r="Z442" s="334">
        <v>1.03</v>
      </c>
      <c r="AA442" s="334">
        <v>1</v>
      </c>
      <c r="AC442" s="333">
        <v>290</v>
      </c>
      <c r="AD442" s="334">
        <v>1</v>
      </c>
      <c r="AE442" s="334">
        <v>1.04</v>
      </c>
      <c r="AF442" s="334">
        <v>1.07</v>
      </c>
      <c r="AG442" s="334">
        <v>1.08</v>
      </c>
      <c r="AH442" s="334">
        <v>1.07</v>
      </c>
      <c r="AJ442" s="333">
        <v>290</v>
      </c>
      <c r="AK442" s="334">
        <v>1</v>
      </c>
      <c r="AL442" s="334">
        <v>1.06</v>
      </c>
      <c r="AM442" s="334">
        <v>1.1100000000000001</v>
      </c>
      <c r="AN442" s="334">
        <v>1.1299999999999999</v>
      </c>
      <c r="AO442" s="334">
        <v>1.1399999999999999</v>
      </c>
      <c r="AQ442" s="333">
        <v>290</v>
      </c>
      <c r="AR442" s="334">
        <v>1</v>
      </c>
      <c r="AS442" s="334">
        <v>1.07</v>
      </c>
      <c r="AT442" s="334">
        <v>1.1499999999999999</v>
      </c>
      <c r="AU442" s="334">
        <v>1.19</v>
      </c>
      <c r="AV442" s="334">
        <v>1.22</v>
      </c>
      <c r="AX442" s="333">
        <v>290</v>
      </c>
      <c r="AY442" s="334">
        <v>1</v>
      </c>
      <c r="AZ442" s="334">
        <v>1.1000000000000001</v>
      </c>
      <c r="BA442" s="334">
        <v>1.17</v>
      </c>
      <c r="BB442" s="334">
        <v>1.22</v>
      </c>
      <c r="BC442" s="334">
        <v>1.26</v>
      </c>
      <c r="BE442" s="333">
        <v>290</v>
      </c>
      <c r="BF442" s="334">
        <v>1</v>
      </c>
      <c r="BG442" s="334">
        <v>1.08</v>
      </c>
      <c r="BH442" s="334">
        <v>1.1599999999999999</v>
      </c>
      <c r="BI442" s="334">
        <v>1.21</v>
      </c>
      <c r="BJ442" s="334">
        <v>1.24</v>
      </c>
      <c r="BL442" s="333">
        <v>290</v>
      </c>
      <c r="BM442" s="334">
        <v>1</v>
      </c>
      <c r="BN442" s="334">
        <v>1.07</v>
      </c>
      <c r="BO442" s="334">
        <v>1.1200000000000001</v>
      </c>
      <c r="BP442" s="334">
        <v>1.1499999999999999</v>
      </c>
      <c r="BQ442" s="334">
        <v>1.17</v>
      </c>
      <c r="BS442" s="333">
        <v>290</v>
      </c>
      <c r="BT442" s="334">
        <v>1</v>
      </c>
      <c r="BU442" s="334">
        <v>1.05</v>
      </c>
      <c r="BV442" s="334">
        <v>1.08</v>
      </c>
      <c r="BW442" s="334">
        <v>1.1000000000000001</v>
      </c>
      <c r="BX442" s="334">
        <v>1.0900000000000001</v>
      </c>
      <c r="BZ442" s="333">
        <v>290</v>
      </c>
      <c r="CA442" s="334">
        <v>1</v>
      </c>
      <c r="CB442" s="334">
        <v>1.03</v>
      </c>
      <c r="CC442" s="334">
        <v>1.05</v>
      </c>
      <c r="CD442" s="334">
        <v>1.05</v>
      </c>
      <c r="CE442" s="334">
        <v>1.03</v>
      </c>
      <c r="CG442" s="333">
        <v>290</v>
      </c>
      <c r="CH442" s="334">
        <v>1</v>
      </c>
      <c r="CI442" s="334">
        <v>1.02</v>
      </c>
      <c r="CJ442" s="334">
        <v>1.02</v>
      </c>
      <c r="CK442" s="334">
        <v>1.01</v>
      </c>
      <c r="CL442" s="334">
        <v>0.98</v>
      </c>
      <c r="CN442" s="333">
        <v>290</v>
      </c>
      <c r="CO442" s="334">
        <v>1</v>
      </c>
      <c r="CP442" s="334">
        <v>1.01</v>
      </c>
      <c r="CQ442" s="334">
        <v>1</v>
      </c>
      <c r="CR442" s="334">
        <v>0.98</v>
      </c>
      <c r="CS442" s="334">
        <v>0.95</v>
      </c>
    </row>
    <row r="443" spans="3:97" x14ac:dyDescent="0.25">
      <c r="C443" s="333">
        <v>40</v>
      </c>
      <c r="D443" s="334">
        <v>0.86</v>
      </c>
      <c r="E443" s="334">
        <v>0.91</v>
      </c>
      <c r="F443" s="334">
        <v>0.94</v>
      </c>
      <c r="G443" s="335">
        <v>0.95</v>
      </c>
      <c r="H443" s="335">
        <v>0.95</v>
      </c>
      <c r="I443" s="334">
        <v>0.92</v>
      </c>
      <c r="J443" s="334">
        <v>0.87</v>
      </c>
      <c r="K443" s="334">
        <v>0.81</v>
      </c>
      <c r="L443" s="334">
        <v>0.74</v>
      </c>
      <c r="M443" s="334">
        <v>0.65</v>
      </c>
      <c r="O443" s="333">
        <v>300</v>
      </c>
      <c r="P443" s="334">
        <v>1</v>
      </c>
      <c r="Q443" s="334">
        <v>1.02</v>
      </c>
      <c r="R443" s="335">
        <v>1.02</v>
      </c>
      <c r="S443" s="334">
        <v>1</v>
      </c>
      <c r="T443" s="334">
        <v>0.97</v>
      </c>
      <c r="V443" s="333">
        <v>300</v>
      </c>
      <c r="W443" s="334">
        <v>1</v>
      </c>
      <c r="X443" s="334">
        <v>1.03</v>
      </c>
      <c r="Y443" s="335">
        <v>1.05</v>
      </c>
      <c r="Z443" s="334">
        <v>1.05</v>
      </c>
      <c r="AA443" s="334">
        <v>1.03</v>
      </c>
      <c r="AC443" s="333">
        <v>300</v>
      </c>
      <c r="AD443" s="334">
        <v>1</v>
      </c>
      <c r="AE443" s="334">
        <v>1.06</v>
      </c>
      <c r="AF443" s="335">
        <v>1.1000000000000001</v>
      </c>
      <c r="AG443" s="334">
        <v>1.1100000000000001</v>
      </c>
      <c r="AH443" s="334">
        <v>1.1100000000000001</v>
      </c>
      <c r="AJ443" s="333">
        <v>300</v>
      </c>
      <c r="AK443" s="334">
        <v>1</v>
      </c>
      <c r="AL443" s="334">
        <v>1.08</v>
      </c>
      <c r="AM443" s="335">
        <v>1.1499999999999999</v>
      </c>
      <c r="AN443" s="334">
        <v>1.19</v>
      </c>
      <c r="AO443" s="334">
        <v>1.21</v>
      </c>
      <c r="AQ443" s="333">
        <v>300</v>
      </c>
      <c r="AR443" s="334">
        <v>1</v>
      </c>
      <c r="AS443" s="334">
        <v>1.1100000000000001</v>
      </c>
      <c r="AT443" s="335">
        <v>1.2</v>
      </c>
      <c r="AU443" s="334">
        <v>1.28</v>
      </c>
      <c r="AV443" s="334">
        <v>1.32</v>
      </c>
      <c r="AX443" s="333">
        <v>300</v>
      </c>
      <c r="AY443" s="334">
        <v>1</v>
      </c>
      <c r="AZ443" s="334">
        <v>1.1299999999999999</v>
      </c>
      <c r="BA443" s="335">
        <v>1.24</v>
      </c>
      <c r="BB443" s="334">
        <v>1.32</v>
      </c>
      <c r="BC443" s="334">
        <v>1.37</v>
      </c>
      <c r="BE443" s="333">
        <v>300</v>
      </c>
      <c r="BF443" s="334">
        <v>1</v>
      </c>
      <c r="BG443" s="334">
        <v>1.1100000000000001</v>
      </c>
      <c r="BH443" s="335">
        <v>1.22</v>
      </c>
      <c r="BI443" s="334">
        <v>1.3</v>
      </c>
      <c r="BJ443" s="334">
        <v>1.34</v>
      </c>
      <c r="BL443" s="333">
        <v>300</v>
      </c>
      <c r="BM443" s="334">
        <v>1</v>
      </c>
      <c r="BN443" s="334">
        <v>1.1000000000000001</v>
      </c>
      <c r="BO443" s="335">
        <v>1.17</v>
      </c>
      <c r="BP443" s="334">
        <v>1.22</v>
      </c>
      <c r="BQ443" s="334">
        <v>1.25</v>
      </c>
      <c r="BS443" s="333">
        <v>300</v>
      </c>
      <c r="BT443" s="334">
        <v>1</v>
      </c>
      <c r="BU443" s="334">
        <v>1.07</v>
      </c>
      <c r="BV443" s="335">
        <v>1.1100000000000001</v>
      </c>
      <c r="BW443" s="334">
        <v>1.1299999999999999</v>
      </c>
      <c r="BX443" s="334">
        <v>1.1399999999999999</v>
      </c>
      <c r="BZ443" s="333">
        <v>300</v>
      </c>
      <c r="CA443" s="334">
        <v>1</v>
      </c>
      <c r="CB443" s="334">
        <v>1.04</v>
      </c>
      <c r="CC443" s="335">
        <v>1.06</v>
      </c>
      <c r="CD443" s="334">
        <v>1.07</v>
      </c>
      <c r="CE443" s="334">
        <v>1.05</v>
      </c>
      <c r="CG443" s="333">
        <v>300</v>
      </c>
      <c r="CH443" s="334">
        <v>1</v>
      </c>
      <c r="CI443" s="334">
        <v>1.02</v>
      </c>
      <c r="CJ443" s="335">
        <v>1.03</v>
      </c>
      <c r="CK443" s="334">
        <v>1.01</v>
      </c>
      <c r="CL443" s="334">
        <v>0.98</v>
      </c>
      <c r="CN443" s="333">
        <v>300</v>
      </c>
      <c r="CO443" s="334">
        <v>1</v>
      </c>
      <c r="CP443" s="334">
        <v>1.01</v>
      </c>
      <c r="CQ443" s="335">
        <v>1</v>
      </c>
      <c r="CR443" s="334">
        <v>0.98</v>
      </c>
      <c r="CS443" s="334">
        <v>0.94</v>
      </c>
    </row>
    <row r="444" spans="3:97" x14ac:dyDescent="0.25">
      <c r="C444" s="333">
        <v>50</v>
      </c>
      <c r="D444" s="334">
        <v>0.86</v>
      </c>
      <c r="E444" s="334">
        <v>0.9</v>
      </c>
      <c r="F444" s="334">
        <v>0.92</v>
      </c>
      <c r="G444" s="335">
        <v>0.93</v>
      </c>
      <c r="H444" s="335">
        <v>0.92</v>
      </c>
      <c r="I444" s="334">
        <v>0.89</v>
      </c>
      <c r="J444" s="334">
        <v>0.85</v>
      </c>
      <c r="K444" s="334">
        <v>0.79</v>
      </c>
      <c r="L444" s="334">
        <v>0.71</v>
      </c>
      <c r="M444" s="334">
        <v>0.63</v>
      </c>
      <c r="O444" s="333">
        <v>310</v>
      </c>
      <c r="P444" s="334">
        <v>1</v>
      </c>
      <c r="Q444" s="334">
        <v>1.02</v>
      </c>
      <c r="R444" s="335">
        <v>1.02</v>
      </c>
      <c r="S444" s="334">
        <v>1.01</v>
      </c>
      <c r="T444" s="334">
        <v>0.97</v>
      </c>
      <c r="V444" s="333">
        <v>310</v>
      </c>
      <c r="W444" s="334">
        <v>1</v>
      </c>
      <c r="X444" s="334">
        <v>1.04</v>
      </c>
      <c r="Y444" s="335">
        <v>1.06</v>
      </c>
      <c r="Z444" s="334">
        <v>1.06</v>
      </c>
      <c r="AA444" s="334">
        <v>1.04</v>
      </c>
      <c r="AC444" s="333">
        <v>310</v>
      </c>
      <c r="AD444" s="334">
        <v>1</v>
      </c>
      <c r="AE444" s="334">
        <v>1.07</v>
      </c>
      <c r="AF444" s="335">
        <v>1.1200000000000001</v>
      </c>
      <c r="AG444" s="334">
        <v>1.1399999999999999</v>
      </c>
      <c r="AH444" s="334">
        <v>1.1499999999999999</v>
      </c>
      <c r="AJ444" s="333">
        <v>310</v>
      </c>
      <c r="AK444" s="334">
        <v>1</v>
      </c>
      <c r="AL444" s="334">
        <v>1.1100000000000001</v>
      </c>
      <c r="AM444" s="335">
        <v>1.18</v>
      </c>
      <c r="AN444" s="334">
        <v>1.24</v>
      </c>
      <c r="AO444" s="334">
        <v>1.27</v>
      </c>
      <c r="AQ444" s="333">
        <v>310</v>
      </c>
      <c r="AR444" s="334">
        <v>1</v>
      </c>
      <c r="AS444" s="334">
        <v>1.1399999999999999</v>
      </c>
      <c r="AT444" s="335">
        <v>1.26</v>
      </c>
      <c r="AU444" s="334">
        <v>1.35</v>
      </c>
      <c r="AV444" s="334">
        <v>1.4</v>
      </c>
      <c r="AX444" s="333">
        <v>310</v>
      </c>
      <c r="AY444" s="334">
        <v>1</v>
      </c>
      <c r="AZ444" s="334">
        <v>1.17</v>
      </c>
      <c r="BA444" s="335">
        <v>1.31</v>
      </c>
      <c r="BB444" s="334">
        <v>1.41</v>
      </c>
      <c r="BC444" s="334">
        <v>1.49</v>
      </c>
      <c r="BE444" s="333">
        <v>310</v>
      </c>
      <c r="BF444" s="334">
        <v>1</v>
      </c>
      <c r="BG444" s="334">
        <v>1.1499999999999999</v>
      </c>
      <c r="BH444" s="335">
        <v>1.28</v>
      </c>
      <c r="BI444" s="334">
        <v>1.38</v>
      </c>
      <c r="BJ444" s="334">
        <v>1.45</v>
      </c>
      <c r="BL444" s="333">
        <v>310</v>
      </c>
      <c r="BM444" s="334">
        <v>1</v>
      </c>
      <c r="BN444" s="334">
        <v>1.1200000000000001</v>
      </c>
      <c r="BO444" s="335">
        <v>1.21</v>
      </c>
      <c r="BP444" s="334">
        <v>1.28</v>
      </c>
      <c r="BQ444" s="334">
        <v>1.32</v>
      </c>
      <c r="BS444" s="333">
        <v>310</v>
      </c>
      <c r="BT444" s="334">
        <v>1</v>
      </c>
      <c r="BU444" s="334">
        <v>1.08</v>
      </c>
      <c r="BV444" s="335">
        <v>1.1399999999999999</v>
      </c>
      <c r="BW444" s="334">
        <v>1.17</v>
      </c>
      <c r="BX444" s="334">
        <v>1.19</v>
      </c>
      <c r="BZ444" s="333">
        <v>310</v>
      </c>
      <c r="CA444" s="334">
        <v>1</v>
      </c>
      <c r="CB444" s="334">
        <v>1.05</v>
      </c>
      <c r="CC444" s="335">
        <v>1.08</v>
      </c>
      <c r="CD444" s="334">
        <v>1.0900000000000001</v>
      </c>
      <c r="CE444" s="334">
        <v>1.07</v>
      </c>
      <c r="CG444" s="333">
        <v>310</v>
      </c>
      <c r="CH444" s="334">
        <v>1</v>
      </c>
      <c r="CI444" s="334">
        <v>1.03</v>
      </c>
      <c r="CJ444" s="335">
        <v>1.03</v>
      </c>
      <c r="CK444" s="334">
        <v>1.02</v>
      </c>
      <c r="CL444" s="334">
        <v>0.99</v>
      </c>
      <c r="CN444" s="333">
        <v>310</v>
      </c>
      <c r="CO444" s="334">
        <v>1</v>
      </c>
      <c r="CP444" s="334">
        <v>1.01</v>
      </c>
      <c r="CQ444" s="335">
        <v>1</v>
      </c>
      <c r="CR444" s="334">
        <v>0.98</v>
      </c>
      <c r="CS444" s="334">
        <v>0.94</v>
      </c>
    </row>
    <row r="445" spans="3:97" x14ac:dyDescent="0.25">
      <c r="C445" s="333">
        <v>60</v>
      </c>
      <c r="D445" s="334">
        <v>0.86</v>
      </c>
      <c r="E445" s="334">
        <v>0.89</v>
      </c>
      <c r="F445" s="334">
        <v>0.91</v>
      </c>
      <c r="G445" s="335">
        <v>0.91</v>
      </c>
      <c r="H445" s="335">
        <v>0.89</v>
      </c>
      <c r="I445" s="334">
        <v>0.86</v>
      </c>
      <c r="J445" s="334">
        <v>0.81</v>
      </c>
      <c r="K445" s="334">
        <v>0.76</v>
      </c>
      <c r="L445" s="334">
        <v>0.69</v>
      </c>
      <c r="M445" s="334">
        <v>0.61</v>
      </c>
      <c r="O445" s="333">
        <v>320</v>
      </c>
      <c r="P445" s="334">
        <v>1</v>
      </c>
      <c r="Q445" s="334">
        <v>1.02</v>
      </c>
      <c r="R445" s="335">
        <v>1.02</v>
      </c>
      <c r="S445" s="334">
        <v>1</v>
      </c>
      <c r="T445" s="334">
        <v>0.97</v>
      </c>
      <c r="V445" s="333">
        <v>320</v>
      </c>
      <c r="W445" s="334">
        <v>1</v>
      </c>
      <c r="X445" s="334">
        <v>1.04</v>
      </c>
      <c r="Y445" s="335">
        <v>1.07</v>
      </c>
      <c r="Z445" s="334">
        <v>1.07</v>
      </c>
      <c r="AA445" s="334">
        <v>1.05</v>
      </c>
      <c r="AC445" s="333">
        <v>320</v>
      </c>
      <c r="AD445" s="334">
        <v>1</v>
      </c>
      <c r="AE445" s="334">
        <v>1.08</v>
      </c>
      <c r="AF445" s="335">
        <v>1.1399999999999999</v>
      </c>
      <c r="AG445" s="334">
        <v>1.17</v>
      </c>
      <c r="AH445" s="334">
        <v>1.17</v>
      </c>
      <c r="AJ445" s="333">
        <v>320</v>
      </c>
      <c r="AK445" s="334">
        <v>1</v>
      </c>
      <c r="AL445" s="334">
        <v>1.1200000000000001</v>
      </c>
      <c r="AM445" s="335">
        <v>1.22</v>
      </c>
      <c r="AN445" s="334">
        <v>1.29</v>
      </c>
      <c r="AO445" s="334">
        <v>1.32</v>
      </c>
      <c r="AQ445" s="333">
        <v>320</v>
      </c>
      <c r="AR445" s="334">
        <v>1</v>
      </c>
      <c r="AS445" s="334">
        <v>1.1599999999999999</v>
      </c>
      <c r="AT445" s="335">
        <v>1.3</v>
      </c>
      <c r="AU445" s="334">
        <v>1.41</v>
      </c>
      <c r="AV445" s="334">
        <v>1.49</v>
      </c>
      <c r="AX445" s="333">
        <v>320</v>
      </c>
      <c r="AY445" s="334">
        <v>1</v>
      </c>
      <c r="AZ445" s="334">
        <v>1.19</v>
      </c>
      <c r="BA445" s="335">
        <v>1.36</v>
      </c>
      <c r="BB445" s="334">
        <v>1.5</v>
      </c>
      <c r="BC445" s="334">
        <v>1.59</v>
      </c>
      <c r="BE445" s="333">
        <v>320</v>
      </c>
      <c r="BF445" s="334">
        <v>1</v>
      </c>
      <c r="BG445" s="334">
        <v>1.18</v>
      </c>
      <c r="BH445" s="335">
        <v>1.33</v>
      </c>
      <c r="BI445" s="334">
        <v>1.45</v>
      </c>
      <c r="BJ445" s="334">
        <v>1.54</v>
      </c>
      <c r="BL445" s="333">
        <v>320</v>
      </c>
      <c r="BM445" s="334">
        <v>1</v>
      </c>
      <c r="BN445" s="334">
        <v>1.1399999999999999</v>
      </c>
      <c r="BO445" s="335">
        <v>1.25</v>
      </c>
      <c r="BP445" s="334">
        <v>1.33</v>
      </c>
      <c r="BQ445" s="334">
        <v>1.39</v>
      </c>
      <c r="BS445" s="333">
        <v>320</v>
      </c>
      <c r="BT445" s="334">
        <v>1</v>
      </c>
      <c r="BU445" s="334">
        <v>1.0900000000000001</v>
      </c>
      <c r="BV445" s="335">
        <v>1.1599999999999999</v>
      </c>
      <c r="BW445" s="334">
        <v>1.2</v>
      </c>
      <c r="BX445" s="334">
        <v>1.21</v>
      </c>
      <c r="BZ445" s="333">
        <v>320</v>
      </c>
      <c r="CA445" s="334">
        <v>1</v>
      </c>
      <c r="CB445" s="334">
        <v>1.06</v>
      </c>
      <c r="CC445" s="335">
        <v>1.0900000000000001</v>
      </c>
      <c r="CD445" s="334">
        <v>1.1000000000000001</v>
      </c>
      <c r="CE445" s="334">
        <v>1.0900000000000001</v>
      </c>
      <c r="CG445" s="333">
        <v>320</v>
      </c>
      <c r="CH445" s="334">
        <v>1</v>
      </c>
      <c r="CI445" s="334">
        <v>1.03</v>
      </c>
      <c r="CJ445" s="335">
        <v>1.03</v>
      </c>
      <c r="CK445" s="334">
        <v>1.02</v>
      </c>
      <c r="CL445" s="334">
        <v>0.99</v>
      </c>
      <c r="CN445" s="333">
        <v>320</v>
      </c>
      <c r="CO445" s="334">
        <v>1</v>
      </c>
      <c r="CP445" s="334">
        <v>1.01</v>
      </c>
      <c r="CQ445" s="335">
        <v>1</v>
      </c>
      <c r="CR445" s="334">
        <v>0.98</v>
      </c>
      <c r="CS445" s="334">
        <v>0.93</v>
      </c>
    </row>
    <row r="446" spans="3:97" x14ac:dyDescent="0.25">
      <c r="C446" s="333">
        <v>70</v>
      </c>
      <c r="D446" s="334">
        <v>0.86</v>
      </c>
      <c r="E446" s="334">
        <v>0.88</v>
      </c>
      <c r="F446" s="334">
        <v>0.89</v>
      </c>
      <c r="G446" s="335">
        <v>0.88</v>
      </c>
      <c r="H446" s="335">
        <v>0.86</v>
      </c>
      <c r="I446" s="334">
        <v>0.82</v>
      </c>
      <c r="J446" s="334">
        <v>0.78</v>
      </c>
      <c r="K446" s="334">
        <v>0.73</v>
      </c>
      <c r="L446" s="334">
        <v>0.66</v>
      </c>
      <c r="M446" s="334">
        <v>0.59</v>
      </c>
      <c r="O446" s="333">
        <v>330</v>
      </c>
      <c r="P446" s="334">
        <v>1</v>
      </c>
      <c r="Q446" s="334">
        <v>1.02</v>
      </c>
      <c r="R446" s="335">
        <v>1.02</v>
      </c>
      <c r="S446" s="334">
        <v>1</v>
      </c>
      <c r="T446" s="334">
        <v>0.96</v>
      </c>
      <c r="V446" s="333">
        <v>330</v>
      </c>
      <c r="W446" s="334">
        <v>1</v>
      </c>
      <c r="X446" s="334">
        <v>1.05</v>
      </c>
      <c r="Y446" s="335">
        <v>1.07</v>
      </c>
      <c r="Z446" s="334">
        <v>1.07</v>
      </c>
      <c r="AA446" s="334">
        <v>1.05</v>
      </c>
      <c r="AC446" s="333">
        <v>330</v>
      </c>
      <c r="AD446" s="334">
        <v>1</v>
      </c>
      <c r="AE446" s="334">
        <v>1.0900000000000001</v>
      </c>
      <c r="AF446" s="335">
        <v>1.1499999999999999</v>
      </c>
      <c r="AG446" s="334">
        <v>1.19</v>
      </c>
      <c r="AH446" s="334">
        <v>1.2</v>
      </c>
      <c r="AJ446" s="333">
        <v>330</v>
      </c>
      <c r="AK446" s="334">
        <v>1</v>
      </c>
      <c r="AL446" s="334">
        <v>1.1399999999999999</v>
      </c>
      <c r="AM446" s="335">
        <v>1.24</v>
      </c>
      <c r="AN446" s="334">
        <v>1.33</v>
      </c>
      <c r="AO446" s="334">
        <v>1.37</v>
      </c>
      <c r="AQ446" s="333">
        <v>330</v>
      </c>
      <c r="AR446" s="334">
        <v>1</v>
      </c>
      <c r="AS446" s="334">
        <v>1.18</v>
      </c>
      <c r="AT446" s="335">
        <v>1.34</v>
      </c>
      <c r="AU446" s="334">
        <v>1.47</v>
      </c>
      <c r="AV446" s="334">
        <v>1.55</v>
      </c>
      <c r="AX446" s="333">
        <v>330</v>
      </c>
      <c r="AY446" s="334">
        <v>1</v>
      </c>
      <c r="AZ446" s="334">
        <v>1.22</v>
      </c>
      <c r="BA446" s="335">
        <v>1.41</v>
      </c>
      <c r="BB446" s="334">
        <v>1.56</v>
      </c>
      <c r="BC446" s="334">
        <v>1.68</v>
      </c>
      <c r="BE446" s="333">
        <v>330</v>
      </c>
      <c r="BF446" s="334">
        <v>1</v>
      </c>
      <c r="BG446" s="334">
        <v>1.2</v>
      </c>
      <c r="BH446" s="335">
        <v>1.38</v>
      </c>
      <c r="BI446" s="334">
        <v>1.52</v>
      </c>
      <c r="BJ446" s="334">
        <v>1.62</v>
      </c>
      <c r="BL446" s="333">
        <v>330</v>
      </c>
      <c r="BM446" s="334">
        <v>1</v>
      </c>
      <c r="BN446" s="334">
        <v>1.1599999999999999</v>
      </c>
      <c r="BO446" s="335">
        <v>1.28</v>
      </c>
      <c r="BP446" s="334">
        <v>1.38</v>
      </c>
      <c r="BQ446" s="334">
        <v>1.44</v>
      </c>
      <c r="BS446" s="333">
        <v>330</v>
      </c>
      <c r="BT446" s="334">
        <v>1</v>
      </c>
      <c r="BU446" s="334">
        <v>1.1000000000000001</v>
      </c>
      <c r="BV446" s="335">
        <v>1.17</v>
      </c>
      <c r="BW446" s="334">
        <v>1.23</v>
      </c>
      <c r="BX446" s="334">
        <v>1.25</v>
      </c>
      <c r="BZ446" s="333">
        <v>330</v>
      </c>
      <c r="CA446" s="334">
        <v>1</v>
      </c>
      <c r="CB446" s="334">
        <v>1.06</v>
      </c>
      <c r="CC446" s="335">
        <v>1.1000000000000001</v>
      </c>
      <c r="CD446" s="334">
        <v>1.1100000000000001</v>
      </c>
      <c r="CE446" s="334">
        <v>1.1000000000000001</v>
      </c>
      <c r="CG446" s="333">
        <v>330</v>
      </c>
      <c r="CH446" s="334">
        <v>1</v>
      </c>
      <c r="CI446" s="334">
        <v>1.03</v>
      </c>
      <c r="CJ446" s="335">
        <v>1.03</v>
      </c>
      <c r="CK446" s="334">
        <v>1.02</v>
      </c>
      <c r="CL446" s="334">
        <v>0.98</v>
      </c>
      <c r="CN446" s="333">
        <v>330</v>
      </c>
      <c r="CO446" s="334">
        <v>1</v>
      </c>
      <c r="CP446" s="334">
        <v>1.01</v>
      </c>
      <c r="CQ446" s="335">
        <v>1</v>
      </c>
      <c r="CR446" s="334">
        <v>0.97</v>
      </c>
      <c r="CS446" s="334">
        <v>0.93</v>
      </c>
    </row>
    <row r="447" spans="3:97" x14ac:dyDescent="0.25">
      <c r="C447" s="333">
        <v>80</v>
      </c>
      <c r="D447" s="334">
        <v>0.86</v>
      </c>
      <c r="E447" s="334">
        <v>0.87</v>
      </c>
      <c r="F447" s="334">
        <v>0.87</v>
      </c>
      <c r="G447" s="335">
        <v>0.85</v>
      </c>
      <c r="H447" s="335">
        <v>0.82</v>
      </c>
      <c r="I447" s="334">
        <v>0.78</v>
      </c>
      <c r="J447" s="334">
        <v>0.74</v>
      </c>
      <c r="K447" s="334">
        <v>0.68</v>
      </c>
      <c r="L447" s="334">
        <v>0.63</v>
      </c>
      <c r="M447" s="334">
        <v>0.56000000000000005</v>
      </c>
      <c r="O447" s="333">
        <v>340</v>
      </c>
      <c r="P447" s="334">
        <v>1</v>
      </c>
      <c r="Q447" s="334">
        <v>1.02</v>
      </c>
      <c r="R447" s="335">
        <v>1.02</v>
      </c>
      <c r="S447" s="334">
        <v>1</v>
      </c>
      <c r="T447" s="334">
        <v>0.95</v>
      </c>
      <c r="V447" s="333">
        <v>340</v>
      </c>
      <c r="W447" s="334">
        <v>1</v>
      </c>
      <c r="X447" s="334">
        <v>1.05</v>
      </c>
      <c r="Y447" s="335">
        <v>1.07</v>
      </c>
      <c r="Z447" s="334">
        <v>1.08</v>
      </c>
      <c r="AA447" s="334">
        <v>1.05</v>
      </c>
      <c r="AC447" s="333">
        <v>340</v>
      </c>
      <c r="AD447" s="334">
        <v>1</v>
      </c>
      <c r="AE447" s="334">
        <v>1.0900000000000001</v>
      </c>
      <c r="AF447" s="335">
        <v>1.1599999999999999</v>
      </c>
      <c r="AG447" s="334">
        <v>1.2</v>
      </c>
      <c r="AH447" s="334">
        <v>1.21</v>
      </c>
      <c r="AJ447" s="333">
        <v>340</v>
      </c>
      <c r="AK447" s="334">
        <v>1</v>
      </c>
      <c r="AL447" s="334">
        <v>1.1499999999999999</v>
      </c>
      <c r="AM447" s="335">
        <v>1.27</v>
      </c>
      <c r="AN447" s="334">
        <v>1.35</v>
      </c>
      <c r="AO447" s="334">
        <v>1.41</v>
      </c>
      <c r="AQ447" s="333">
        <v>340</v>
      </c>
      <c r="AR447" s="334">
        <v>1</v>
      </c>
      <c r="AS447" s="334">
        <v>1.19</v>
      </c>
      <c r="AT447" s="335">
        <v>1.37</v>
      </c>
      <c r="AU447" s="334">
        <v>1.51</v>
      </c>
      <c r="AV447" s="334">
        <v>1.61</v>
      </c>
      <c r="AX447" s="333">
        <v>340</v>
      </c>
      <c r="AY447" s="334">
        <v>1</v>
      </c>
      <c r="AZ447" s="334">
        <v>1.24</v>
      </c>
      <c r="BA447" s="335">
        <v>1.45</v>
      </c>
      <c r="BB447" s="334">
        <v>1.62</v>
      </c>
      <c r="BC447" s="334">
        <v>1.74</v>
      </c>
      <c r="BE447" s="333">
        <v>340</v>
      </c>
      <c r="BF447" s="334">
        <v>1</v>
      </c>
      <c r="BG447" s="334">
        <v>1.22</v>
      </c>
      <c r="BH447" s="335">
        <v>1.41</v>
      </c>
      <c r="BI447" s="334">
        <v>1.56</v>
      </c>
      <c r="BJ447" s="334">
        <v>1.68</v>
      </c>
      <c r="BL447" s="333">
        <v>340</v>
      </c>
      <c r="BM447" s="334">
        <v>1</v>
      </c>
      <c r="BN447" s="334">
        <v>1.17</v>
      </c>
      <c r="BO447" s="335">
        <v>1.31</v>
      </c>
      <c r="BP447" s="334">
        <v>1.41</v>
      </c>
      <c r="BQ447" s="334">
        <v>1.48</v>
      </c>
      <c r="BS447" s="333">
        <v>340</v>
      </c>
      <c r="BT447" s="334">
        <v>1</v>
      </c>
      <c r="BU447" s="334">
        <v>1.1100000000000001</v>
      </c>
      <c r="BV447" s="335">
        <v>1.19</v>
      </c>
      <c r="BW447" s="334">
        <v>1.24</v>
      </c>
      <c r="BX447" s="334">
        <v>1.26</v>
      </c>
      <c r="BZ447" s="333">
        <v>340</v>
      </c>
      <c r="CA447" s="334">
        <v>1</v>
      </c>
      <c r="CB447" s="334">
        <v>1.06</v>
      </c>
      <c r="CC447" s="335">
        <v>1.1000000000000001</v>
      </c>
      <c r="CD447" s="334">
        <v>1.1100000000000001</v>
      </c>
      <c r="CE447" s="334">
        <v>1.1000000000000001</v>
      </c>
      <c r="CG447" s="333">
        <v>340</v>
      </c>
      <c r="CH447" s="334">
        <v>1</v>
      </c>
      <c r="CI447" s="334">
        <v>1.03</v>
      </c>
      <c r="CJ447" s="335">
        <v>1.03</v>
      </c>
      <c r="CK447" s="334">
        <v>1.02</v>
      </c>
      <c r="CL447" s="334">
        <v>0.98</v>
      </c>
      <c r="CN447" s="333">
        <v>340</v>
      </c>
      <c r="CO447" s="334">
        <v>1</v>
      </c>
      <c r="CP447" s="334">
        <v>1.01</v>
      </c>
      <c r="CQ447" s="335">
        <v>1</v>
      </c>
      <c r="CR447" s="334">
        <v>0.97</v>
      </c>
      <c r="CS447" s="334">
        <v>0.92</v>
      </c>
    </row>
    <row r="448" spans="3:97" x14ac:dyDescent="0.25">
      <c r="C448" s="333">
        <v>90</v>
      </c>
      <c r="D448" s="334">
        <v>0.86</v>
      </c>
      <c r="E448" s="334">
        <v>0.85</v>
      </c>
      <c r="F448" s="334">
        <v>0.84</v>
      </c>
      <c r="G448" s="335">
        <v>0.82</v>
      </c>
      <c r="H448" s="335">
        <v>0.78</v>
      </c>
      <c r="I448" s="334">
        <v>0.74</v>
      </c>
      <c r="J448" s="334">
        <v>0.7</v>
      </c>
      <c r="K448" s="334">
        <v>0.64</v>
      </c>
      <c r="L448" s="334">
        <v>0.59</v>
      </c>
      <c r="M448" s="334">
        <v>0.53</v>
      </c>
      <c r="O448" s="333">
        <v>350</v>
      </c>
      <c r="P448" s="334">
        <v>1</v>
      </c>
      <c r="Q448" s="334">
        <v>1.02</v>
      </c>
      <c r="R448" s="335">
        <v>1.02</v>
      </c>
      <c r="S448" s="334">
        <v>0.99</v>
      </c>
      <c r="T448" s="334">
        <v>0.94</v>
      </c>
      <c r="V448" s="333">
        <v>350</v>
      </c>
      <c r="W448" s="334">
        <v>1</v>
      </c>
      <c r="X448" s="334">
        <v>1.05</v>
      </c>
      <c r="Y448" s="335">
        <v>1.08</v>
      </c>
      <c r="Z448" s="334">
        <v>1.08</v>
      </c>
      <c r="AA448" s="334">
        <v>1.05</v>
      </c>
      <c r="AC448" s="333">
        <v>350</v>
      </c>
      <c r="AD448" s="334">
        <v>1</v>
      </c>
      <c r="AE448" s="334">
        <v>1.1000000000000001</v>
      </c>
      <c r="AF448" s="335">
        <v>1.17</v>
      </c>
      <c r="AG448" s="334">
        <v>1.21</v>
      </c>
      <c r="AH448" s="334">
        <v>1.22</v>
      </c>
      <c r="AJ448" s="333">
        <v>350</v>
      </c>
      <c r="AK448" s="334">
        <v>1</v>
      </c>
      <c r="AL448" s="334">
        <v>1.1499999999999999</v>
      </c>
      <c r="AM448" s="335">
        <v>1.27</v>
      </c>
      <c r="AN448" s="334">
        <v>1.37</v>
      </c>
      <c r="AO448" s="334">
        <v>1.44</v>
      </c>
      <c r="AQ448" s="333">
        <v>350</v>
      </c>
      <c r="AR448" s="334">
        <v>1</v>
      </c>
      <c r="AS448" s="334">
        <v>1.2</v>
      </c>
      <c r="AT448" s="335">
        <v>1.38</v>
      </c>
      <c r="AU448" s="334">
        <v>1.53</v>
      </c>
      <c r="AV448" s="334">
        <v>1.64</v>
      </c>
      <c r="AX448" s="333">
        <v>350</v>
      </c>
      <c r="AY448" s="334">
        <v>1</v>
      </c>
      <c r="AZ448" s="334">
        <v>1.26</v>
      </c>
      <c r="BA448" s="335">
        <v>1.47</v>
      </c>
      <c r="BB448" s="334">
        <v>1.65</v>
      </c>
      <c r="BC448" s="334">
        <v>1.79</v>
      </c>
      <c r="BE448" s="333">
        <v>350</v>
      </c>
      <c r="BF448" s="334">
        <v>1</v>
      </c>
      <c r="BG448" s="334">
        <v>1.23</v>
      </c>
      <c r="BH448" s="335">
        <v>1.43</v>
      </c>
      <c r="BI448" s="334">
        <v>1.6</v>
      </c>
      <c r="BJ448" s="334">
        <v>1.72</v>
      </c>
      <c r="BL448" s="333">
        <v>350</v>
      </c>
      <c r="BM448" s="334">
        <v>1</v>
      </c>
      <c r="BN448" s="334">
        <v>1.18</v>
      </c>
      <c r="BO448" s="335">
        <v>1.32</v>
      </c>
      <c r="BP448" s="334">
        <v>1.44</v>
      </c>
      <c r="BQ448" s="334">
        <v>1.52</v>
      </c>
      <c r="BS448" s="333">
        <v>350</v>
      </c>
      <c r="BT448" s="334">
        <v>1</v>
      </c>
      <c r="BU448" s="334">
        <v>1.1100000000000001</v>
      </c>
      <c r="BV448" s="335">
        <v>1.2</v>
      </c>
      <c r="BW448" s="334">
        <v>1.25</v>
      </c>
      <c r="BX448" s="334">
        <v>1.28</v>
      </c>
      <c r="BZ448" s="333">
        <v>350</v>
      </c>
      <c r="CA448" s="334">
        <v>1</v>
      </c>
      <c r="CB448" s="334">
        <v>1.06</v>
      </c>
      <c r="CC448" s="335">
        <v>1.1000000000000001</v>
      </c>
      <c r="CD448" s="334">
        <v>1.1200000000000001</v>
      </c>
      <c r="CE448" s="334">
        <v>1.1000000000000001</v>
      </c>
      <c r="CG448" s="333">
        <v>350</v>
      </c>
      <c r="CH448" s="334">
        <v>1</v>
      </c>
      <c r="CI448" s="334">
        <v>1.03</v>
      </c>
      <c r="CJ448" s="335">
        <v>1.03</v>
      </c>
      <c r="CK448" s="334">
        <v>1.01</v>
      </c>
      <c r="CL448" s="334">
        <v>0.97</v>
      </c>
      <c r="CN448" s="333">
        <v>350</v>
      </c>
      <c r="CO448" s="334">
        <v>1</v>
      </c>
      <c r="CP448" s="334">
        <v>1.01</v>
      </c>
      <c r="CQ448" s="335">
        <v>1</v>
      </c>
      <c r="CR448" s="334">
        <v>0.97</v>
      </c>
      <c r="CS448" s="334">
        <v>0.91</v>
      </c>
    </row>
    <row r="449" spans="3:97" x14ac:dyDescent="0.25">
      <c r="C449" s="333">
        <v>100</v>
      </c>
      <c r="D449" s="334">
        <v>0.86</v>
      </c>
      <c r="E449" s="334">
        <v>0.84</v>
      </c>
      <c r="F449" s="334">
        <v>0.82</v>
      </c>
      <c r="G449" s="335">
        <v>0.78</v>
      </c>
      <c r="H449" s="335">
        <v>0.74</v>
      </c>
      <c r="I449" s="334">
        <v>0.7</v>
      </c>
      <c r="J449" s="334">
        <v>0.65</v>
      </c>
      <c r="K449" s="334">
        <v>0.6</v>
      </c>
      <c r="L449" s="334">
        <v>0.55000000000000004</v>
      </c>
      <c r="M449" s="334">
        <v>0.49</v>
      </c>
      <c r="O449" s="333">
        <v>0</v>
      </c>
      <c r="P449" s="334">
        <v>1</v>
      </c>
      <c r="Q449" s="334">
        <v>1.02</v>
      </c>
      <c r="R449" s="335">
        <v>1.01</v>
      </c>
      <c r="S449" s="334">
        <v>0.99</v>
      </c>
      <c r="T449" s="334">
        <v>0.93</v>
      </c>
      <c r="V449" s="333">
        <v>0</v>
      </c>
      <c r="W449" s="334">
        <v>1</v>
      </c>
      <c r="X449" s="334">
        <v>1.05</v>
      </c>
      <c r="Y449" s="335">
        <v>1.07</v>
      </c>
      <c r="Z449" s="334">
        <v>1.07</v>
      </c>
      <c r="AA449" s="334">
        <v>1.05</v>
      </c>
      <c r="AC449" s="333">
        <v>0</v>
      </c>
      <c r="AD449" s="334">
        <v>1</v>
      </c>
      <c r="AE449" s="334">
        <v>1.1000000000000001</v>
      </c>
      <c r="AF449" s="335">
        <v>1.17</v>
      </c>
      <c r="AG449" s="334">
        <v>1.21</v>
      </c>
      <c r="AH449" s="334">
        <v>1.22</v>
      </c>
      <c r="AJ449" s="333">
        <v>0</v>
      </c>
      <c r="AK449" s="334">
        <v>1</v>
      </c>
      <c r="AL449" s="334">
        <v>1.1499999999999999</v>
      </c>
      <c r="AM449" s="335">
        <v>1.28</v>
      </c>
      <c r="AN449" s="334">
        <v>1.37</v>
      </c>
      <c r="AO449" s="334">
        <v>1.44</v>
      </c>
      <c r="AQ449" s="333">
        <v>0</v>
      </c>
      <c r="AR449" s="334">
        <v>1</v>
      </c>
      <c r="AS449" s="334">
        <v>1.2</v>
      </c>
      <c r="AT449" s="335">
        <v>1.39</v>
      </c>
      <c r="AU449" s="334">
        <v>1.54</v>
      </c>
      <c r="AV449" s="334">
        <v>1.65</v>
      </c>
      <c r="AX449" s="333">
        <v>0</v>
      </c>
      <c r="AY449" s="334">
        <v>1</v>
      </c>
      <c r="AZ449" s="334">
        <v>1.26</v>
      </c>
      <c r="BA449" s="335">
        <v>1.47</v>
      </c>
      <c r="BB449" s="334">
        <v>1.67</v>
      </c>
      <c r="BC449" s="334">
        <v>1.81</v>
      </c>
      <c r="BE449" s="333">
        <v>0</v>
      </c>
      <c r="BF449" s="334">
        <v>1</v>
      </c>
      <c r="BG449" s="334">
        <v>1.23</v>
      </c>
      <c r="BH449" s="335">
        <v>1.44</v>
      </c>
      <c r="BI449" s="334">
        <v>1.61</v>
      </c>
      <c r="BJ449" s="334">
        <v>1.74</v>
      </c>
      <c r="BL449" s="333">
        <v>0</v>
      </c>
      <c r="BM449" s="334">
        <v>1</v>
      </c>
      <c r="BN449" s="334">
        <v>1.18</v>
      </c>
      <c r="BO449" s="335">
        <v>1.32</v>
      </c>
      <c r="BP449" s="334">
        <v>1.45</v>
      </c>
      <c r="BQ449" s="334">
        <v>1.53</v>
      </c>
      <c r="BS449" s="333">
        <v>0</v>
      </c>
      <c r="BT449" s="334">
        <v>1</v>
      </c>
      <c r="BU449" s="334">
        <v>1.1100000000000001</v>
      </c>
      <c r="BV449" s="335">
        <v>1.2</v>
      </c>
      <c r="BW449" s="334">
        <v>1.25</v>
      </c>
      <c r="BX449" s="334">
        <v>1.28</v>
      </c>
      <c r="BZ449" s="333">
        <v>0</v>
      </c>
      <c r="CA449" s="334">
        <v>1</v>
      </c>
      <c r="CB449" s="334">
        <v>1.06</v>
      </c>
      <c r="CC449" s="335">
        <v>1.1000000000000001</v>
      </c>
      <c r="CD449" s="334">
        <v>1.1100000000000001</v>
      </c>
      <c r="CE449" s="334">
        <v>1.1000000000000001</v>
      </c>
      <c r="CG449" s="333">
        <v>0</v>
      </c>
      <c r="CH449" s="334">
        <v>1</v>
      </c>
      <c r="CI449" s="334">
        <v>1.03</v>
      </c>
      <c r="CJ449" s="335">
        <v>1.03</v>
      </c>
      <c r="CK449" s="334">
        <v>1.01</v>
      </c>
      <c r="CL449" s="334">
        <v>0.97</v>
      </c>
      <c r="CN449" s="333">
        <v>0</v>
      </c>
      <c r="CO449" s="334">
        <v>1</v>
      </c>
      <c r="CP449" s="334">
        <v>1.01</v>
      </c>
      <c r="CQ449" s="335">
        <v>1</v>
      </c>
      <c r="CR449" s="334">
        <v>0.96</v>
      </c>
      <c r="CS449" s="334">
        <v>0.9</v>
      </c>
    </row>
    <row r="450" spans="3:97" x14ac:dyDescent="0.25">
      <c r="C450" s="333">
        <v>110</v>
      </c>
      <c r="D450" s="334">
        <v>0.86</v>
      </c>
      <c r="E450" s="334">
        <v>0.84</v>
      </c>
      <c r="F450" s="334">
        <v>0.8</v>
      </c>
      <c r="G450" s="335">
        <v>0.75</v>
      </c>
      <c r="H450" s="335">
        <v>0.71</v>
      </c>
      <c r="I450" s="334">
        <v>0.65</v>
      </c>
      <c r="J450" s="334">
        <v>0.61</v>
      </c>
      <c r="K450" s="334">
        <v>0.56000000000000005</v>
      </c>
      <c r="L450" s="334">
        <v>0.5</v>
      </c>
      <c r="M450" s="334">
        <v>0.45</v>
      </c>
      <c r="O450" s="333">
        <v>10</v>
      </c>
      <c r="P450" s="334">
        <v>1</v>
      </c>
      <c r="Q450" s="334">
        <v>1.02</v>
      </c>
      <c r="R450" s="335">
        <v>1.01</v>
      </c>
      <c r="S450" s="334">
        <v>0.98</v>
      </c>
      <c r="T450" s="334">
        <v>0.93</v>
      </c>
      <c r="V450" s="333">
        <v>10</v>
      </c>
      <c r="W450" s="334">
        <v>1</v>
      </c>
      <c r="X450" s="334">
        <v>1.05</v>
      </c>
      <c r="Y450" s="335">
        <v>1.07</v>
      </c>
      <c r="Z450" s="334">
        <v>1.07</v>
      </c>
      <c r="AA450" s="334">
        <v>1.04</v>
      </c>
      <c r="AC450" s="333">
        <v>10</v>
      </c>
      <c r="AD450" s="334">
        <v>1</v>
      </c>
      <c r="AE450" s="334">
        <v>1.1000000000000001</v>
      </c>
      <c r="AF450" s="335">
        <v>1.1599999999999999</v>
      </c>
      <c r="AG450" s="334">
        <v>1.2</v>
      </c>
      <c r="AH450" s="334">
        <v>1.21</v>
      </c>
      <c r="AJ450" s="333">
        <v>10</v>
      </c>
      <c r="AK450" s="334">
        <v>1</v>
      </c>
      <c r="AL450" s="334">
        <v>1.1499999999999999</v>
      </c>
      <c r="AM450" s="335">
        <v>1.27</v>
      </c>
      <c r="AN450" s="334">
        <v>1.37</v>
      </c>
      <c r="AO450" s="334">
        <v>1.43</v>
      </c>
      <c r="AQ450" s="333">
        <v>10</v>
      </c>
      <c r="AR450" s="334">
        <v>1</v>
      </c>
      <c r="AS450" s="334">
        <v>1.2</v>
      </c>
      <c r="AT450" s="335">
        <v>1.38</v>
      </c>
      <c r="AU450" s="334">
        <v>1.53</v>
      </c>
      <c r="AV450" s="334">
        <v>1.64</v>
      </c>
      <c r="AX450" s="333">
        <v>10</v>
      </c>
      <c r="AY450" s="334">
        <v>1</v>
      </c>
      <c r="AZ450" s="334">
        <v>1.26</v>
      </c>
      <c r="BA450" s="335">
        <v>1.47</v>
      </c>
      <c r="BB450" s="334">
        <v>1.65</v>
      </c>
      <c r="BC450" s="334">
        <v>1.79</v>
      </c>
      <c r="BE450" s="333">
        <v>10</v>
      </c>
      <c r="BF450" s="334">
        <v>1</v>
      </c>
      <c r="BG450" s="334">
        <v>1.23</v>
      </c>
      <c r="BH450" s="335">
        <v>1.43</v>
      </c>
      <c r="BI450" s="334">
        <v>1.6</v>
      </c>
      <c r="BJ450" s="334">
        <v>1.72</v>
      </c>
      <c r="BL450" s="333">
        <v>10</v>
      </c>
      <c r="BM450" s="334">
        <v>1</v>
      </c>
      <c r="BN450" s="334">
        <v>1.18</v>
      </c>
      <c r="BO450" s="335">
        <v>1.32</v>
      </c>
      <c r="BP450" s="334">
        <v>1.44</v>
      </c>
      <c r="BQ450" s="334">
        <v>1.52</v>
      </c>
      <c r="BS450" s="333">
        <v>10</v>
      </c>
      <c r="BT450" s="334">
        <v>1</v>
      </c>
      <c r="BU450" s="334">
        <v>1.1100000000000001</v>
      </c>
      <c r="BV450" s="335">
        <v>1.19</v>
      </c>
      <c r="BW450" s="334">
        <v>1.25</v>
      </c>
      <c r="BX450" s="334">
        <v>1.27</v>
      </c>
      <c r="BZ450" s="333">
        <v>10</v>
      </c>
      <c r="CA450" s="334">
        <v>1</v>
      </c>
      <c r="CB450" s="334">
        <v>1.06</v>
      </c>
      <c r="CC450" s="335">
        <v>1.1000000000000001</v>
      </c>
      <c r="CD450" s="334">
        <v>1.1100000000000001</v>
      </c>
      <c r="CE450" s="334">
        <v>1.0900000000000001</v>
      </c>
      <c r="CG450" s="333">
        <v>10</v>
      </c>
      <c r="CH450" s="334">
        <v>1</v>
      </c>
      <c r="CI450" s="334">
        <v>1.03</v>
      </c>
      <c r="CJ450" s="335">
        <v>1.03</v>
      </c>
      <c r="CK450" s="334">
        <v>1.01</v>
      </c>
      <c r="CL450" s="334">
        <v>0.96</v>
      </c>
      <c r="CN450" s="333">
        <v>10</v>
      </c>
      <c r="CO450" s="334">
        <v>1</v>
      </c>
      <c r="CP450" s="334">
        <v>1.01</v>
      </c>
      <c r="CQ450" s="335">
        <v>1</v>
      </c>
      <c r="CR450" s="334">
        <v>0.96</v>
      </c>
      <c r="CS450" s="334">
        <v>0.9</v>
      </c>
    </row>
    <row r="451" spans="3:97" x14ac:dyDescent="0.25">
      <c r="C451" s="333">
        <v>120</v>
      </c>
      <c r="D451" s="334">
        <v>0.86</v>
      </c>
      <c r="E451" s="334">
        <v>0.82</v>
      </c>
      <c r="F451" s="334">
        <v>0.78</v>
      </c>
      <c r="G451" s="335">
        <v>0.72</v>
      </c>
      <c r="H451" s="335">
        <v>0.67</v>
      </c>
      <c r="I451" s="334">
        <v>0.61</v>
      </c>
      <c r="J451" s="334">
        <v>0.56000000000000005</v>
      </c>
      <c r="K451" s="334">
        <v>0.51</v>
      </c>
      <c r="L451" s="334">
        <v>0.46</v>
      </c>
      <c r="M451" s="334">
        <v>0.42</v>
      </c>
      <c r="O451" s="333">
        <v>20</v>
      </c>
      <c r="P451" s="334">
        <v>1</v>
      </c>
      <c r="Q451" s="334">
        <v>1.02</v>
      </c>
      <c r="R451" s="335">
        <v>1.01</v>
      </c>
      <c r="S451" s="334">
        <v>0.98</v>
      </c>
      <c r="T451" s="334">
        <v>0.93</v>
      </c>
      <c r="V451" s="333">
        <v>20</v>
      </c>
      <c r="W451" s="334">
        <v>1</v>
      </c>
      <c r="X451" s="334">
        <v>1.04</v>
      </c>
      <c r="Y451" s="335">
        <v>1.06</v>
      </c>
      <c r="Z451" s="334">
        <v>1.06</v>
      </c>
      <c r="AA451" s="334">
        <v>1.03</v>
      </c>
      <c r="AC451" s="333">
        <v>20</v>
      </c>
      <c r="AD451" s="334">
        <v>1</v>
      </c>
      <c r="AE451" s="334">
        <v>1.0900000000000001</v>
      </c>
      <c r="AF451" s="335">
        <v>1.1499999999999999</v>
      </c>
      <c r="AG451" s="334">
        <v>1.19</v>
      </c>
      <c r="AH451" s="334">
        <v>1.2</v>
      </c>
      <c r="AJ451" s="333">
        <v>20</v>
      </c>
      <c r="AK451" s="334">
        <v>1</v>
      </c>
      <c r="AL451" s="334">
        <v>1.1499999999999999</v>
      </c>
      <c r="AM451" s="335">
        <v>1.26</v>
      </c>
      <c r="AN451" s="334">
        <v>1.35</v>
      </c>
      <c r="AO451" s="334">
        <v>1.4</v>
      </c>
      <c r="AQ451" s="333">
        <v>20</v>
      </c>
      <c r="AR451" s="334">
        <v>1</v>
      </c>
      <c r="AS451" s="334">
        <v>1.19</v>
      </c>
      <c r="AT451" s="335">
        <v>1.36</v>
      </c>
      <c r="AU451" s="334">
        <v>1.5</v>
      </c>
      <c r="AV451" s="334">
        <v>1.61</v>
      </c>
      <c r="AX451" s="333">
        <v>20</v>
      </c>
      <c r="AY451" s="334">
        <v>1</v>
      </c>
      <c r="AZ451" s="334">
        <v>1.24</v>
      </c>
      <c r="BA451" s="335">
        <v>1.45</v>
      </c>
      <c r="BB451" s="334">
        <v>1.63</v>
      </c>
      <c r="BC451" s="334">
        <v>1.76</v>
      </c>
      <c r="BE451" s="333">
        <v>20</v>
      </c>
      <c r="BF451" s="334">
        <v>1</v>
      </c>
      <c r="BG451" s="334">
        <v>1.22</v>
      </c>
      <c r="BH451" s="335">
        <v>1.41</v>
      </c>
      <c r="BI451" s="334">
        <v>1.56</v>
      </c>
      <c r="BJ451" s="334">
        <v>1.69</v>
      </c>
      <c r="BL451" s="333">
        <v>20</v>
      </c>
      <c r="BM451" s="334">
        <v>1</v>
      </c>
      <c r="BN451" s="334">
        <v>1.17</v>
      </c>
      <c r="BO451" s="335">
        <v>1.31</v>
      </c>
      <c r="BP451" s="334">
        <v>1.41</v>
      </c>
      <c r="BQ451" s="334">
        <v>1.49</v>
      </c>
      <c r="BS451" s="333">
        <v>20</v>
      </c>
      <c r="BT451" s="334">
        <v>1</v>
      </c>
      <c r="BU451" s="334">
        <v>1.1100000000000001</v>
      </c>
      <c r="BV451" s="335">
        <v>1.19</v>
      </c>
      <c r="BW451" s="334">
        <v>1.23</v>
      </c>
      <c r="BX451" s="334">
        <v>1.25</v>
      </c>
      <c r="BZ451" s="333">
        <v>20</v>
      </c>
      <c r="CA451" s="334">
        <v>1</v>
      </c>
      <c r="CB451" s="334">
        <v>1.06</v>
      </c>
      <c r="CC451" s="335">
        <v>1.0900000000000001</v>
      </c>
      <c r="CD451" s="334">
        <v>1.1000000000000001</v>
      </c>
      <c r="CE451" s="334">
        <v>1.0900000000000001</v>
      </c>
      <c r="CG451" s="333">
        <v>20</v>
      </c>
      <c r="CH451" s="334">
        <v>1</v>
      </c>
      <c r="CI451" s="334">
        <v>1.03</v>
      </c>
      <c r="CJ451" s="335">
        <v>1.03</v>
      </c>
      <c r="CK451" s="334">
        <v>1</v>
      </c>
      <c r="CL451" s="334">
        <v>0.96</v>
      </c>
      <c r="CN451" s="333">
        <v>20</v>
      </c>
      <c r="CO451" s="334">
        <v>1</v>
      </c>
      <c r="CP451" s="334">
        <v>1.01</v>
      </c>
      <c r="CQ451" s="335">
        <v>1</v>
      </c>
      <c r="CR451" s="334">
        <v>0.96</v>
      </c>
      <c r="CS451" s="334">
        <v>0.91</v>
      </c>
    </row>
    <row r="452" spans="3:97" x14ac:dyDescent="0.25">
      <c r="C452" s="333">
        <v>130</v>
      </c>
      <c r="D452" s="334">
        <v>0.86</v>
      </c>
      <c r="E452" s="334">
        <v>0.81</v>
      </c>
      <c r="F452" s="334">
        <v>0.76</v>
      </c>
      <c r="G452" s="335">
        <v>0.69</v>
      </c>
      <c r="H452" s="335">
        <v>0.63</v>
      </c>
      <c r="I452" s="334">
        <v>0.56999999999999995</v>
      </c>
      <c r="J452" s="334">
        <v>0.51</v>
      </c>
      <c r="K452" s="334">
        <v>0.46</v>
      </c>
      <c r="L452" s="334">
        <v>0.42</v>
      </c>
      <c r="M452" s="334">
        <v>0.37</v>
      </c>
      <c r="O452" s="333">
        <v>30</v>
      </c>
      <c r="P452" s="334">
        <v>1</v>
      </c>
      <c r="Q452" s="334">
        <v>1.01</v>
      </c>
      <c r="R452" s="335">
        <v>1</v>
      </c>
      <c r="S452" s="334">
        <v>0.98</v>
      </c>
      <c r="T452" s="334">
        <v>0.93</v>
      </c>
      <c r="V452" s="333">
        <v>30</v>
      </c>
      <c r="W452" s="334">
        <v>1</v>
      </c>
      <c r="X452" s="334">
        <v>1.04</v>
      </c>
      <c r="Y452" s="335">
        <v>1.06</v>
      </c>
      <c r="Z452" s="334">
        <v>1.05</v>
      </c>
      <c r="AA452" s="334">
        <v>1.03</v>
      </c>
      <c r="AC452" s="333">
        <v>30</v>
      </c>
      <c r="AD452" s="334">
        <v>1</v>
      </c>
      <c r="AE452" s="334">
        <v>1.08</v>
      </c>
      <c r="AF452" s="335">
        <v>1.1399999999999999</v>
      </c>
      <c r="AG452" s="334">
        <v>1.17</v>
      </c>
      <c r="AH452" s="334">
        <v>1.18</v>
      </c>
      <c r="AJ452" s="333">
        <v>30</v>
      </c>
      <c r="AK452" s="334">
        <v>1</v>
      </c>
      <c r="AL452" s="334">
        <v>1.1399999999999999</v>
      </c>
      <c r="AM452" s="335">
        <v>1.24</v>
      </c>
      <c r="AN452" s="334">
        <v>1.32</v>
      </c>
      <c r="AO452" s="334">
        <v>1.37</v>
      </c>
      <c r="AQ452" s="333">
        <v>30</v>
      </c>
      <c r="AR452" s="334">
        <v>1</v>
      </c>
      <c r="AS452" s="334">
        <v>1.18</v>
      </c>
      <c r="AT452" s="335">
        <v>1.33</v>
      </c>
      <c r="AU452" s="334">
        <v>1.46</v>
      </c>
      <c r="AV452" s="334">
        <v>1.54</v>
      </c>
      <c r="AX452" s="333">
        <v>30</v>
      </c>
      <c r="AY452" s="334">
        <v>1</v>
      </c>
      <c r="AZ452" s="334">
        <v>1.23</v>
      </c>
      <c r="BA452" s="335">
        <v>1.42</v>
      </c>
      <c r="BB452" s="334">
        <v>1.58</v>
      </c>
      <c r="BC452" s="334">
        <v>1.69</v>
      </c>
      <c r="BE452" s="333">
        <v>30</v>
      </c>
      <c r="BF452" s="334">
        <v>1</v>
      </c>
      <c r="BG452" s="334">
        <v>1.21</v>
      </c>
      <c r="BH452" s="335">
        <v>1.38</v>
      </c>
      <c r="BI452" s="334">
        <v>1.52</v>
      </c>
      <c r="BJ452" s="334">
        <v>1.62</v>
      </c>
      <c r="BL452" s="333">
        <v>30</v>
      </c>
      <c r="BM452" s="334">
        <v>1</v>
      </c>
      <c r="BN452" s="334">
        <v>1.1599999999999999</v>
      </c>
      <c r="BO452" s="335">
        <v>1.29</v>
      </c>
      <c r="BP452" s="334">
        <v>1.39</v>
      </c>
      <c r="BQ452" s="334">
        <v>1.45</v>
      </c>
      <c r="BS452" s="333">
        <v>30</v>
      </c>
      <c r="BT452" s="334">
        <v>1</v>
      </c>
      <c r="BU452" s="334">
        <v>1.1000000000000001</v>
      </c>
      <c r="BV452" s="335">
        <v>1.17</v>
      </c>
      <c r="BW452" s="334">
        <v>1.21</v>
      </c>
      <c r="BX452" s="334">
        <v>1.23</v>
      </c>
      <c r="BZ452" s="333">
        <v>30</v>
      </c>
      <c r="CA452" s="334">
        <v>1</v>
      </c>
      <c r="CB452" s="334">
        <v>1.05</v>
      </c>
      <c r="CC452" s="335">
        <v>1.08</v>
      </c>
      <c r="CD452" s="334">
        <v>1.0900000000000001</v>
      </c>
      <c r="CE452" s="334">
        <v>1.07</v>
      </c>
      <c r="CG452" s="333">
        <v>30</v>
      </c>
      <c r="CH452" s="334">
        <v>1</v>
      </c>
      <c r="CI452" s="334">
        <v>1.02</v>
      </c>
      <c r="CJ452" s="335">
        <v>1.02</v>
      </c>
      <c r="CK452" s="334">
        <v>1</v>
      </c>
      <c r="CL452" s="334">
        <v>0.96</v>
      </c>
      <c r="CN452" s="333">
        <v>30</v>
      </c>
      <c r="CO452" s="334">
        <v>1</v>
      </c>
      <c r="CP452" s="334">
        <v>1.01</v>
      </c>
      <c r="CQ452" s="335">
        <v>1</v>
      </c>
      <c r="CR452" s="334">
        <v>0.97</v>
      </c>
      <c r="CS452" s="334">
        <v>0.91</v>
      </c>
    </row>
    <row r="453" spans="3:97" x14ac:dyDescent="0.25">
      <c r="C453" s="333">
        <v>140</v>
      </c>
      <c r="D453" s="334">
        <v>0.86</v>
      </c>
      <c r="E453" s="334">
        <v>0.81</v>
      </c>
      <c r="F453" s="334">
        <v>0.74</v>
      </c>
      <c r="G453" s="335">
        <v>0.67</v>
      </c>
      <c r="H453" s="335">
        <v>0.59</v>
      </c>
      <c r="I453" s="334">
        <v>0.53</v>
      </c>
      <c r="J453" s="334">
        <v>0.47</v>
      </c>
      <c r="K453" s="334">
        <v>0.42</v>
      </c>
      <c r="L453" s="334">
        <v>0.38</v>
      </c>
      <c r="M453" s="334">
        <v>0.34</v>
      </c>
      <c r="O453" s="333">
        <v>40</v>
      </c>
      <c r="P453" s="334">
        <v>1</v>
      </c>
      <c r="Q453" s="334">
        <v>1.01</v>
      </c>
      <c r="R453" s="335">
        <v>1</v>
      </c>
      <c r="S453" s="334">
        <v>0.97</v>
      </c>
      <c r="T453" s="334">
        <v>0.93</v>
      </c>
      <c r="V453" s="333">
        <v>40</v>
      </c>
      <c r="W453" s="334">
        <v>1</v>
      </c>
      <c r="X453" s="334">
        <v>1.03</v>
      </c>
      <c r="Y453" s="335">
        <v>1.05</v>
      </c>
      <c r="Z453" s="334">
        <v>1.04</v>
      </c>
      <c r="AA453" s="334">
        <v>1.01</v>
      </c>
      <c r="AC453" s="333">
        <v>40</v>
      </c>
      <c r="AD453" s="334">
        <v>1</v>
      </c>
      <c r="AE453" s="334">
        <v>1.07</v>
      </c>
      <c r="AF453" s="335">
        <v>1.1299999999999999</v>
      </c>
      <c r="AG453" s="334">
        <v>1.1499999999999999</v>
      </c>
      <c r="AH453" s="334">
        <v>1.1499999999999999</v>
      </c>
      <c r="AJ453" s="333">
        <v>40</v>
      </c>
      <c r="AK453" s="334">
        <v>1</v>
      </c>
      <c r="AL453" s="334">
        <v>1.1200000000000001</v>
      </c>
      <c r="AM453" s="335">
        <v>1.21</v>
      </c>
      <c r="AN453" s="334">
        <v>1.28</v>
      </c>
      <c r="AO453" s="334">
        <v>1.32</v>
      </c>
      <c r="AQ453" s="333">
        <v>40</v>
      </c>
      <c r="AR453" s="334">
        <v>1</v>
      </c>
      <c r="AS453" s="334">
        <v>1.1599999999999999</v>
      </c>
      <c r="AT453" s="335">
        <v>1.3</v>
      </c>
      <c r="AU453" s="334">
        <v>1.4</v>
      </c>
      <c r="AV453" s="334">
        <v>1.48</v>
      </c>
      <c r="AX453" s="333">
        <v>40</v>
      </c>
      <c r="AY453" s="334">
        <v>1</v>
      </c>
      <c r="AZ453" s="334">
        <v>1.21</v>
      </c>
      <c r="BA453" s="335">
        <v>1.37</v>
      </c>
      <c r="BB453" s="334">
        <v>1.51</v>
      </c>
      <c r="BC453" s="334">
        <v>1.62</v>
      </c>
      <c r="BE453" s="333">
        <v>40</v>
      </c>
      <c r="BF453" s="334">
        <v>1</v>
      </c>
      <c r="BG453" s="334">
        <v>1.18</v>
      </c>
      <c r="BH453" s="335">
        <v>1.33</v>
      </c>
      <c r="BI453" s="334">
        <v>1.46</v>
      </c>
      <c r="BJ453" s="334">
        <v>1.55</v>
      </c>
      <c r="BL453" s="333">
        <v>40</v>
      </c>
      <c r="BM453" s="334">
        <v>1</v>
      </c>
      <c r="BN453" s="334">
        <v>1.1399999999999999</v>
      </c>
      <c r="BO453" s="335">
        <v>1.25</v>
      </c>
      <c r="BP453" s="334">
        <v>1.33</v>
      </c>
      <c r="BQ453" s="334">
        <v>1.39</v>
      </c>
      <c r="BS453" s="333">
        <v>40</v>
      </c>
      <c r="BT453" s="334">
        <v>1</v>
      </c>
      <c r="BU453" s="334">
        <v>1.0900000000000001</v>
      </c>
      <c r="BV453" s="335">
        <v>1.1499999999999999</v>
      </c>
      <c r="BW453" s="334">
        <v>1.19</v>
      </c>
      <c r="BX453" s="334">
        <v>1.2</v>
      </c>
      <c r="BZ453" s="333">
        <v>40</v>
      </c>
      <c r="CA453" s="334">
        <v>1</v>
      </c>
      <c r="CB453" s="334">
        <v>1.05</v>
      </c>
      <c r="CC453" s="335">
        <v>1.07</v>
      </c>
      <c r="CD453" s="334">
        <v>1.08</v>
      </c>
      <c r="CE453" s="334">
        <v>1.06</v>
      </c>
      <c r="CG453" s="333">
        <v>40</v>
      </c>
      <c r="CH453" s="334">
        <v>1</v>
      </c>
      <c r="CI453" s="334">
        <v>1.02</v>
      </c>
      <c r="CJ453" s="335">
        <v>1.02</v>
      </c>
      <c r="CK453" s="334">
        <v>1</v>
      </c>
      <c r="CL453" s="334">
        <v>0.96</v>
      </c>
      <c r="CN453" s="333">
        <v>40</v>
      </c>
      <c r="CO453" s="334">
        <v>1</v>
      </c>
      <c r="CP453" s="334">
        <v>1.01</v>
      </c>
      <c r="CQ453" s="335">
        <v>0.99</v>
      </c>
      <c r="CR453" s="334">
        <v>0.97</v>
      </c>
      <c r="CS453" s="334">
        <v>0.92</v>
      </c>
    </row>
    <row r="454" spans="3:97" x14ac:dyDescent="0.25">
      <c r="C454" s="333">
        <v>150</v>
      </c>
      <c r="D454" s="334">
        <v>0.86</v>
      </c>
      <c r="E454" s="334">
        <v>0.8</v>
      </c>
      <c r="F454" s="334">
        <v>0.73</v>
      </c>
      <c r="G454" s="335">
        <v>0.65</v>
      </c>
      <c r="H454" s="335">
        <v>0.56999999999999995</v>
      </c>
      <c r="I454" s="334">
        <v>0.49</v>
      </c>
      <c r="J454" s="334">
        <v>0.43</v>
      </c>
      <c r="K454" s="334">
        <v>0.38</v>
      </c>
      <c r="L454" s="334">
        <v>0.35</v>
      </c>
      <c r="M454" s="334">
        <v>0.31</v>
      </c>
      <c r="O454" s="333">
        <v>50</v>
      </c>
      <c r="P454" s="334">
        <v>1</v>
      </c>
      <c r="Q454" s="334">
        <v>1.01</v>
      </c>
      <c r="R454" s="335">
        <v>1</v>
      </c>
      <c r="S454" s="334">
        <v>0.97</v>
      </c>
      <c r="T454" s="334">
        <v>0.93</v>
      </c>
      <c r="V454" s="333">
        <v>50</v>
      </c>
      <c r="W454" s="334">
        <v>1</v>
      </c>
      <c r="X454" s="334">
        <v>1.03</v>
      </c>
      <c r="Y454" s="335">
        <v>1.04</v>
      </c>
      <c r="Z454" s="334">
        <v>1.03</v>
      </c>
      <c r="AA454" s="334">
        <v>1</v>
      </c>
      <c r="AC454" s="333">
        <v>50</v>
      </c>
      <c r="AD454" s="334">
        <v>1</v>
      </c>
      <c r="AE454" s="334">
        <v>1.06</v>
      </c>
      <c r="AF454" s="335">
        <v>1.1000000000000001</v>
      </c>
      <c r="AG454" s="334">
        <v>1.1200000000000001</v>
      </c>
      <c r="AH454" s="334">
        <v>1.1200000000000001</v>
      </c>
      <c r="AJ454" s="333">
        <v>50</v>
      </c>
      <c r="AK454" s="334">
        <v>1</v>
      </c>
      <c r="AL454" s="334">
        <v>1.1000000000000001</v>
      </c>
      <c r="AM454" s="335">
        <v>1.18</v>
      </c>
      <c r="AN454" s="334">
        <v>1.24</v>
      </c>
      <c r="AO454" s="334">
        <v>1.27</v>
      </c>
      <c r="AQ454" s="333">
        <v>50</v>
      </c>
      <c r="AR454" s="334">
        <v>1</v>
      </c>
      <c r="AS454" s="334">
        <v>1.1299999999999999</v>
      </c>
      <c r="AT454" s="335">
        <v>1.24</v>
      </c>
      <c r="AU454" s="334">
        <v>1.33</v>
      </c>
      <c r="AV454" s="334">
        <v>1.38</v>
      </c>
      <c r="AX454" s="333">
        <v>50</v>
      </c>
      <c r="AY454" s="334">
        <v>1</v>
      </c>
      <c r="AZ454" s="334">
        <v>1.18</v>
      </c>
      <c r="BA454" s="335">
        <v>1.32</v>
      </c>
      <c r="BB454" s="334">
        <v>1.44</v>
      </c>
      <c r="BC454" s="334">
        <v>1.51</v>
      </c>
      <c r="BE454" s="333">
        <v>50</v>
      </c>
      <c r="BF454" s="334">
        <v>1</v>
      </c>
      <c r="BG454" s="334">
        <v>1.1499999999999999</v>
      </c>
      <c r="BH454" s="335">
        <v>1.29</v>
      </c>
      <c r="BI454" s="334">
        <v>1.39</v>
      </c>
      <c r="BJ454" s="334">
        <v>1.46</v>
      </c>
      <c r="BL454" s="333">
        <v>50</v>
      </c>
      <c r="BM454" s="334">
        <v>1</v>
      </c>
      <c r="BN454" s="334">
        <v>1.1200000000000001</v>
      </c>
      <c r="BO454" s="335">
        <v>1.22</v>
      </c>
      <c r="BP454" s="334">
        <v>1.29</v>
      </c>
      <c r="BQ454" s="334">
        <v>1.32</v>
      </c>
      <c r="BS454" s="333">
        <v>50</v>
      </c>
      <c r="BT454" s="334">
        <v>1</v>
      </c>
      <c r="BU454" s="334">
        <v>1.07</v>
      </c>
      <c r="BV454" s="335">
        <v>1.1299999999999999</v>
      </c>
      <c r="BW454" s="334">
        <v>1.1499999999999999</v>
      </c>
      <c r="BX454" s="334">
        <v>1.1599999999999999</v>
      </c>
      <c r="BZ454" s="333">
        <v>50</v>
      </c>
      <c r="CA454" s="334">
        <v>1</v>
      </c>
      <c r="CB454" s="334">
        <v>1.04</v>
      </c>
      <c r="CC454" s="335">
        <v>1.06</v>
      </c>
      <c r="CD454" s="334">
        <v>1.06</v>
      </c>
      <c r="CE454" s="334">
        <v>1.04</v>
      </c>
      <c r="CG454" s="333">
        <v>50</v>
      </c>
      <c r="CH454" s="334">
        <v>1</v>
      </c>
      <c r="CI454" s="334">
        <v>1.02</v>
      </c>
      <c r="CJ454" s="335">
        <v>1.01</v>
      </c>
      <c r="CK454" s="334">
        <v>0.99</v>
      </c>
      <c r="CL454" s="334">
        <v>0.96</v>
      </c>
      <c r="CN454" s="333">
        <v>50</v>
      </c>
      <c r="CO454" s="334">
        <v>1</v>
      </c>
      <c r="CP454" s="334">
        <v>1.01</v>
      </c>
      <c r="CQ454" s="335">
        <v>0.99</v>
      </c>
      <c r="CR454" s="334">
        <v>0.97</v>
      </c>
      <c r="CS454" s="334">
        <v>0.92</v>
      </c>
    </row>
    <row r="455" spans="3:97" x14ac:dyDescent="0.25">
      <c r="C455" s="333">
        <v>160</v>
      </c>
      <c r="D455" s="334">
        <v>0.86</v>
      </c>
      <c r="E455" s="334">
        <v>0.8</v>
      </c>
      <c r="F455" s="334">
        <v>0.72</v>
      </c>
      <c r="G455" s="335">
        <v>0.63</v>
      </c>
      <c r="H455" s="335">
        <v>0.54</v>
      </c>
      <c r="I455" s="334">
        <v>0.47</v>
      </c>
      <c r="J455" s="334">
        <v>0.4</v>
      </c>
      <c r="K455" s="334">
        <v>0.35</v>
      </c>
      <c r="L455" s="334">
        <v>0.32</v>
      </c>
      <c r="M455" s="334">
        <v>0.28999999999999998</v>
      </c>
      <c r="O455" s="333">
        <v>60</v>
      </c>
      <c r="P455" s="334">
        <v>1</v>
      </c>
      <c r="Q455" s="334">
        <v>1</v>
      </c>
      <c r="R455" s="335">
        <v>0.99</v>
      </c>
      <c r="S455" s="334">
        <v>0.96</v>
      </c>
      <c r="T455" s="334">
        <v>0.92</v>
      </c>
      <c r="V455" s="333">
        <v>60</v>
      </c>
      <c r="W455" s="334">
        <v>1</v>
      </c>
      <c r="X455" s="334">
        <v>1.02</v>
      </c>
      <c r="Y455" s="335">
        <v>1.03</v>
      </c>
      <c r="Z455" s="334">
        <v>1.01</v>
      </c>
      <c r="AA455" s="334">
        <v>0.98</v>
      </c>
      <c r="AC455" s="333">
        <v>60</v>
      </c>
      <c r="AD455" s="334">
        <v>1</v>
      </c>
      <c r="AE455" s="334">
        <v>1.05</v>
      </c>
      <c r="AF455" s="335">
        <v>1.08</v>
      </c>
      <c r="AG455" s="334">
        <v>1.0900000000000001</v>
      </c>
      <c r="AH455" s="334">
        <v>1.08</v>
      </c>
      <c r="AJ455" s="333">
        <v>60</v>
      </c>
      <c r="AK455" s="334">
        <v>1</v>
      </c>
      <c r="AL455" s="334">
        <v>1.08</v>
      </c>
      <c r="AM455" s="335">
        <v>1.1499999999999999</v>
      </c>
      <c r="AN455" s="334">
        <v>1.18</v>
      </c>
      <c r="AO455" s="334">
        <v>1.2</v>
      </c>
      <c r="AQ455" s="333">
        <v>60</v>
      </c>
      <c r="AR455" s="334">
        <v>1</v>
      </c>
      <c r="AS455" s="334">
        <v>1.1100000000000001</v>
      </c>
      <c r="AT455" s="335">
        <v>1.19</v>
      </c>
      <c r="AU455" s="334">
        <v>1.26</v>
      </c>
      <c r="AV455" s="334">
        <v>1.3</v>
      </c>
      <c r="AX455" s="333">
        <v>60</v>
      </c>
      <c r="AY455" s="334">
        <v>1</v>
      </c>
      <c r="AZ455" s="334">
        <v>1.1399999999999999</v>
      </c>
      <c r="BA455" s="335">
        <v>1.26</v>
      </c>
      <c r="BB455" s="334">
        <v>1.35</v>
      </c>
      <c r="BC455" s="334">
        <v>1.41</v>
      </c>
      <c r="BE455" s="333">
        <v>60</v>
      </c>
      <c r="BF455" s="334">
        <v>1</v>
      </c>
      <c r="BG455" s="334">
        <v>1.1299999999999999</v>
      </c>
      <c r="BH455" s="335">
        <v>1.23</v>
      </c>
      <c r="BI455" s="334">
        <v>1.3</v>
      </c>
      <c r="BJ455" s="334">
        <v>1.36</v>
      </c>
      <c r="BL455" s="333">
        <v>60</v>
      </c>
      <c r="BM455" s="334">
        <v>1</v>
      </c>
      <c r="BN455" s="334">
        <v>1.1000000000000001</v>
      </c>
      <c r="BO455" s="335">
        <v>1.18</v>
      </c>
      <c r="BP455" s="334">
        <v>1.23</v>
      </c>
      <c r="BQ455" s="334">
        <v>1.25</v>
      </c>
      <c r="BS455" s="333">
        <v>60</v>
      </c>
      <c r="BT455" s="334">
        <v>1</v>
      </c>
      <c r="BU455" s="334">
        <v>1.06</v>
      </c>
      <c r="BV455" s="335">
        <v>1.1000000000000001</v>
      </c>
      <c r="BW455" s="334">
        <v>1.1200000000000001</v>
      </c>
      <c r="BX455" s="334">
        <v>1.1200000000000001</v>
      </c>
      <c r="BZ455" s="333">
        <v>60</v>
      </c>
      <c r="CA455" s="334">
        <v>1</v>
      </c>
      <c r="CB455" s="334">
        <v>1.03</v>
      </c>
      <c r="CC455" s="335">
        <v>1.04</v>
      </c>
      <c r="CD455" s="334">
        <v>1.04</v>
      </c>
      <c r="CE455" s="334">
        <v>1.02</v>
      </c>
      <c r="CG455" s="333">
        <v>60</v>
      </c>
      <c r="CH455" s="334">
        <v>1</v>
      </c>
      <c r="CI455" s="334">
        <v>1.01</v>
      </c>
      <c r="CJ455" s="335">
        <v>1</v>
      </c>
      <c r="CK455" s="334">
        <v>0.98</v>
      </c>
      <c r="CL455" s="334">
        <v>0.95</v>
      </c>
      <c r="CN455" s="333">
        <v>60</v>
      </c>
      <c r="CO455" s="334">
        <v>1</v>
      </c>
      <c r="CP455" s="334">
        <v>1</v>
      </c>
      <c r="CQ455" s="335">
        <v>0.99</v>
      </c>
      <c r="CR455" s="334">
        <v>0.96</v>
      </c>
      <c r="CS455" s="334">
        <v>0.92</v>
      </c>
    </row>
    <row r="456" spans="3:97" x14ac:dyDescent="0.25">
      <c r="C456" s="333">
        <v>170</v>
      </c>
      <c r="D456" s="334">
        <v>0.86</v>
      </c>
      <c r="E456" s="334">
        <v>0.8</v>
      </c>
      <c r="F456" s="334">
        <v>0.71</v>
      </c>
      <c r="G456" s="335">
        <v>0.63</v>
      </c>
      <c r="H456" s="335">
        <v>0.54</v>
      </c>
      <c r="I456" s="334">
        <v>0.46</v>
      </c>
      <c r="J456" s="334">
        <v>0.39</v>
      </c>
      <c r="K456" s="334">
        <v>0.33</v>
      </c>
      <c r="L456" s="334">
        <v>0.28999999999999998</v>
      </c>
      <c r="M456" s="334">
        <v>0.27</v>
      </c>
      <c r="O456" s="333">
        <v>70</v>
      </c>
      <c r="P456" s="334">
        <v>1</v>
      </c>
      <c r="Q456" s="334">
        <v>1</v>
      </c>
      <c r="R456" s="335">
        <v>0.98</v>
      </c>
      <c r="S456" s="334">
        <v>0.95</v>
      </c>
      <c r="T456" s="334">
        <v>0.92</v>
      </c>
      <c r="V456" s="333">
        <v>70</v>
      </c>
      <c r="W456" s="334">
        <v>1</v>
      </c>
      <c r="X456" s="334">
        <v>1.01</v>
      </c>
      <c r="Y456" s="335">
        <v>1.01</v>
      </c>
      <c r="Z456" s="334">
        <v>0.99</v>
      </c>
      <c r="AA456" s="334">
        <v>0.96</v>
      </c>
      <c r="AC456" s="333">
        <v>70</v>
      </c>
      <c r="AD456" s="334">
        <v>1</v>
      </c>
      <c r="AE456" s="334">
        <v>1.03</v>
      </c>
      <c r="AF456" s="335">
        <v>1.05</v>
      </c>
      <c r="AG456" s="334">
        <v>1.05</v>
      </c>
      <c r="AH456" s="334">
        <v>1.04</v>
      </c>
      <c r="AJ456" s="333">
        <v>70</v>
      </c>
      <c r="AK456" s="334">
        <v>1</v>
      </c>
      <c r="AL456" s="334">
        <v>1.06</v>
      </c>
      <c r="AM456" s="335">
        <v>1.1000000000000001</v>
      </c>
      <c r="AN456" s="334">
        <v>1.1200000000000001</v>
      </c>
      <c r="AO456" s="334">
        <v>1.1399999999999999</v>
      </c>
      <c r="AQ456" s="333">
        <v>70</v>
      </c>
      <c r="AR456" s="334">
        <v>1</v>
      </c>
      <c r="AS456" s="334">
        <v>1.07</v>
      </c>
      <c r="AT456" s="335">
        <v>1.1399999999999999</v>
      </c>
      <c r="AU456" s="334">
        <v>1.18</v>
      </c>
      <c r="AV456" s="334">
        <v>1.2</v>
      </c>
      <c r="AX456" s="333">
        <v>70</v>
      </c>
      <c r="AY456" s="334">
        <v>1</v>
      </c>
      <c r="AZ456" s="334">
        <v>1.1000000000000001</v>
      </c>
      <c r="BA456" s="335">
        <v>1.18</v>
      </c>
      <c r="BB456" s="334">
        <v>1.26</v>
      </c>
      <c r="BC456" s="334">
        <v>1.28</v>
      </c>
      <c r="BE456" s="333">
        <v>70</v>
      </c>
      <c r="BF456" s="334">
        <v>1</v>
      </c>
      <c r="BG456" s="334">
        <v>1.0900000000000001</v>
      </c>
      <c r="BH456" s="335">
        <v>1.1599999999999999</v>
      </c>
      <c r="BI456" s="334">
        <v>1.22</v>
      </c>
      <c r="BJ456" s="334">
        <v>1.25</v>
      </c>
      <c r="BL456" s="333">
        <v>70</v>
      </c>
      <c r="BM456" s="334">
        <v>1</v>
      </c>
      <c r="BN456" s="334">
        <v>1.07</v>
      </c>
      <c r="BO456" s="335">
        <v>1.1299999999999999</v>
      </c>
      <c r="BP456" s="334">
        <v>1.1599999999999999</v>
      </c>
      <c r="BQ456" s="334">
        <v>1.18</v>
      </c>
      <c r="BS456" s="333">
        <v>70</v>
      </c>
      <c r="BT456" s="334">
        <v>1</v>
      </c>
      <c r="BU456" s="334">
        <v>1.05</v>
      </c>
      <c r="BV456" s="335">
        <v>1.07</v>
      </c>
      <c r="BW456" s="334">
        <v>1.08</v>
      </c>
      <c r="BX456" s="334">
        <v>1.07</v>
      </c>
      <c r="BZ456" s="333">
        <v>70</v>
      </c>
      <c r="CA456" s="334">
        <v>1</v>
      </c>
      <c r="CB456" s="334">
        <v>1.02</v>
      </c>
      <c r="CC456" s="335">
        <v>1.02</v>
      </c>
      <c r="CD456" s="334">
        <v>1.02</v>
      </c>
      <c r="CE456" s="334">
        <v>1</v>
      </c>
      <c r="CG456" s="333">
        <v>70</v>
      </c>
      <c r="CH456" s="334">
        <v>1</v>
      </c>
      <c r="CI456" s="334">
        <v>1.01</v>
      </c>
      <c r="CJ456" s="335">
        <v>1</v>
      </c>
      <c r="CK456" s="334">
        <v>0.98</v>
      </c>
      <c r="CL456" s="334">
        <v>0.94</v>
      </c>
      <c r="CN456" s="333">
        <v>70</v>
      </c>
      <c r="CO456" s="334">
        <v>1</v>
      </c>
      <c r="CP456" s="334">
        <v>1</v>
      </c>
      <c r="CQ456" s="335">
        <v>0.99</v>
      </c>
      <c r="CR456" s="334">
        <v>0.96</v>
      </c>
      <c r="CS456" s="334">
        <v>0.92</v>
      </c>
    </row>
    <row r="457" spans="3:97" x14ac:dyDescent="0.25">
      <c r="C457" s="333">
        <v>180</v>
      </c>
      <c r="D457" s="334">
        <v>0.86</v>
      </c>
      <c r="E457" s="334">
        <v>0.8</v>
      </c>
      <c r="F457" s="334">
        <v>0.71</v>
      </c>
      <c r="G457" s="335">
        <v>0.62</v>
      </c>
      <c r="H457" s="335">
        <v>0.54</v>
      </c>
      <c r="I457" s="334">
        <v>0.46</v>
      </c>
      <c r="J457" s="334">
        <v>0.39</v>
      </c>
      <c r="K457" s="334">
        <v>0.33</v>
      </c>
      <c r="L457" s="334">
        <v>0.28999999999999998</v>
      </c>
      <c r="M457" s="334">
        <v>0.27</v>
      </c>
      <c r="O457" s="333">
        <v>80</v>
      </c>
      <c r="P457" s="334">
        <v>1</v>
      </c>
      <c r="Q457" s="334">
        <v>1</v>
      </c>
      <c r="R457" s="335">
        <v>0.98</v>
      </c>
      <c r="S457" s="334">
        <v>0.95</v>
      </c>
      <c r="T457" s="334">
        <v>0.9</v>
      </c>
      <c r="V457" s="333">
        <v>80</v>
      </c>
      <c r="W457" s="334">
        <v>1</v>
      </c>
      <c r="X457" s="334">
        <v>1</v>
      </c>
      <c r="Y457" s="335">
        <v>1</v>
      </c>
      <c r="Z457" s="334">
        <v>0.97</v>
      </c>
      <c r="AA457" s="334">
        <v>0.94</v>
      </c>
      <c r="AC457" s="333">
        <v>80</v>
      </c>
      <c r="AD457" s="334">
        <v>1</v>
      </c>
      <c r="AE457" s="334">
        <v>1.02</v>
      </c>
      <c r="AF457" s="335">
        <v>1.02</v>
      </c>
      <c r="AG457" s="334">
        <v>1.02</v>
      </c>
      <c r="AH457" s="334">
        <v>0.99</v>
      </c>
      <c r="AJ457" s="333">
        <v>80</v>
      </c>
      <c r="AK457" s="334">
        <v>1</v>
      </c>
      <c r="AL457" s="334">
        <v>1.03</v>
      </c>
      <c r="AM457" s="335">
        <v>1.05</v>
      </c>
      <c r="AN457" s="334">
        <v>1.07</v>
      </c>
      <c r="AO457" s="334">
        <v>1.06</v>
      </c>
      <c r="AQ457" s="333">
        <v>80</v>
      </c>
      <c r="AR457" s="334">
        <v>1</v>
      </c>
      <c r="AS457" s="334">
        <v>1.04</v>
      </c>
      <c r="AT457" s="335">
        <v>1.07</v>
      </c>
      <c r="AU457" s="334">
        <v>1.1000000000000001</v>
      </c>
      <c r="AV457" s="334">
        <v>1.1100000000000001</v>
      </c>
      <c r="AX457" s="333">
        <v>80</v>
      </c>
      <c r="AY457" s="334">
        <v>1</v>
      </c>
      <c r="AZ457" s="334">
        <v>1.06</v>
      </c>
      <c r="BA457" s="335">
        <v>1.1200000000000001</v>
      </c>
      <c r="BB457" s="334">
        <v>1.1499999999999999</v>
      </c>
      <c r="BC457" s="334">
        <v>1.17</v>
      </c>
      <c r="BE457" s="333">
        <v>80</v>
      </c>
      <c r="BF457" s="334">
        <v>1</v>
      </c>
      <c r="BG457" s="334">
        <v>1.06</v>
      </c>
      <c r="BH457" s="335">
        <v>1.0900000000000001</v>
      </c>
      <c r="BI457" s="334">
        <v>1.1299999999999999</v>
      </c>
      <c r="BJ457" s="334">
        <v>1.1399999999999999</v>
      </c>
      <c r="BL457" s="333">
        <v>80</v>
      </c>
      <c r="BM457" s="334">
        <v>1</v>
      </c>
      <c r="BN457" s="334">
        <v>1.04</v>
      </c>
      <c r="BO457" s="335">
        <v>1.08</v>
      </c>
      <c r="BP457" s="334">
        <v>1.1000000000000001</v>
      </c>
      <c r="BQ457" s="334">
        <v>1.1000000000000001</v>
      </c>
      <c r="BS457" s="333">
        <v>80</v>
      </c>
      <c r="BT457" s="334">
        <v>1</v>
      </c>
      <c r="BU457" s="334">
        <v>1.03</v>
      </c>
      <c r="BV457" s="335">
        <v>1.03</v>
      </c>
      <c r="BW457" s="334">
        <v>1.03</v>
      </c>
      <c r="BX457" s="334">
        <v>1.02</v>
      </c>
      <c r="BZ457" s="333">
        <v>80</v>
      </c>
      <c r="CA457" s="334">
        <v>1</v>
      </c>
      <c r="CB457" s="334">
        <v>1.01</v>
      </c>
      <c r="CC457" s="335">
        <v>1.01</v>
      </c>
      <c r="CD457" s="334">
        <v>0.99</v>
      </c>
      <c r="CE457" s="334">
        <v>0.97</v>
      </c>
      <c r="CG457" s="333">
        <v>80</v>
      </c>
      <c r="CH457" s="334">
        <v>1</v>
      </c>
      <c r="CI457" s="334">
        <v>1</v>
      </c>
      <c r="CJ457" s="335">
        <v>0.99</v>
      </c>
      <c r="CK457" s="334">
        <v>0.96</v>
      </c>
      <c r="CL457" s="334">
        <v>0.93</v>
      </c>
      <c r="CN457" s="333">
        <v>80</v>
      </c>
      <c r="CO457" s="334">
        <v>1</v>
      </c>
      <c r="CP457" s="334">
        <v>1</v>
      </c>
      <c r="CQ457" s="335">
        <v>0.98</v>
      </c>
      <c r="CR457" s="334">
        <v>0.96</v>
      </c>
      <c r="CS457" s="334">
        <v>0.92</v>
      </c>
    </row>
    <row r="458" spans="3:97" x14ac:dyDescent="0.25">
      <c r="C458" s="333">
        <v>190</v>
      </c>
      <c r="D458" s="334">
        <v>0.86</v>
      </c>
      <c r="E458" s="334">
        <v>0.8</v>
      </c>
      <c r="F458" s="334">
        <v>0.72</v>
      </c>
      <c r="G458" s="335">
        <v>0.63</v>
      </c>
      <c r="H458" s="335">
        <v>0.54</v>
      </c>
      <c r="I458" s="334">
        <v>0.47</v>
      </c>
      <c r="J458" s="334">
        <v>0.4</v>
      </c>
      <c r="K458" s="334">
        <v>0.33</v>
      </c>
      <c r="L458" s="334">
        <v>0.3</v>
      </c>
      <c r="M458" s="334">
        <v>0.28000000000000003</v>
      </c>
      <c r="O458" s="333">
        <v>90</v>
      </c>
      <c r="P458" s="334">
        <v>1</v>
      </c>
      <c r="Q458" s="334">
        <v>0.99</v>
      </c>
      <c r="R458" s="335">
        <v>0.97</v>
      </c>
      <c r="S458" s="334">
        <v>0.93</v>
      </c>
      <c r="T458" s="334">
        <v>0.89</v>
      </c>
      <c r="V458" s="333">
        <v>90</v>
      </c>
      <c r="W458" s="334">
        <v>1</v>
      </c>
      <c r="X458" s="334">
        <v>1</v>
      </c>
      <c r="Y458" s="335">
        <v>0.98</v>
      </c>
      <c r="Z458" s="334">
        <v>0.95</v>
      </c>
      <c r="AA458" s="334">
        <v>0.91</v>
      </c>
      <c r="AC458" s="333">
        <v>90</v>
      </c>
      <c r="AD458" s="334">
        <v>1</v>
      </c>
      <c r="AE458" s="334">
        <v>1.01</v>
      </c>
      <c r="AF458" s="335">
        <v>0.99</v>
      </c>
      <c r="AG458" s="334">
        <v>0.97</v>
      </c>
      <c r="AH458" s="334">
        <v>0.95</v>
      </c>
      <c r="AJ458" s="333">
        <v>90</v>
      </c>
      <c r="AK458" s="334">
        <v>1</v>
      </c>
      <c r="AL458" s="334">
        <v>1.01</v>
      </c>
      <c r="AM458" s="335">
        <v>1.01</v>
      </c>
      <c r="AN458" s="334">
        <v>1</v>
      </c>
      <c r="AO458" s="334">
        <v>0.98</v>
      </c>
      <c r="AQ458" s="333">
        <v>90</v>
      </c>
      <c r="AR458" s="334">
        <v>1</v>
      </c>
      <c r="AS458" s="334">
        <v>1.01</v>
      </c>
      <c r="AT458" s="335">
        <v>1.01</v>
      </c>
      <c r="AU458" s="334">
        <v>1.01</v>
      </c>
      <c r="AV458" s="334">
        <v>1</v>
      </c>
      <c r="AX458" s="333">
        <v>90</v>
      </c>
      <c r="AY458" s="334">
        <v>1</v>
      </c>
      <c r="AZ458" s="334">
        <v>1.03</v>
      </c>
      <c r="BA458" s="335">
        <v>1.04</v>
      </c>
      <c r="BB458" s="334">
        <v>1.04</v>
      </c>
      <c r="BC458" s="334">
        <v>1.04</v>
      </c>
      <c r="BE458" s="333">
        <v>90</v>
      </c>
      <c r="BF458" s="334">
        <v>1</v>
      </c>
      <c r="BG458" s="334">
        <v>1.01</v>
      </c>
      <c r="BH458" s="335">
        <v>1.02</v>
      </c>
      <c r="BI458" s="334">
        <v>1.02</v>
      </c>
      <c r="BJ458" s="334">
        <v>1.02</v>
      </c>
      <c r="BL458" s="333">
        <v>90</v>
      </c>
      <c r="BM458" s="334">
        <v>1</v>
      </c>
      <c r="BN458" s="334">
        <v>1.02</v>
      </c>
      <c r="BO458" s="335">
        <v>1.02</v>
      </c>
      <c r="BP458" s="334">
        <v>1.02</v>
      </c>
      <c r="BQ458" s="334">
        <v>1.01</v>
      </c>
      <c r="BS458" s="333">
        <v>90</v>
      </c>
      <c r="BT458" s="334">
        <v>1</v>
      </c>
      <c r="BU458" s="334">
        <v>1.01</v>
      </c>
      <c r="BV458" s="335">
        <v>1</v>
      </c>
      <c r="BW458" s="334">
        <v>0.99</v>
      </c>
      <c r="BX458" s="334">
        <v>0.96</v>
      </c>
      <c r="BZ458" s="333">
        <v>90</v>
      </c>
      <c r="CA458" s="334">
        <v>1</v>
      </c>
      <c r="CB458" s="334">
        <v>1</v>
      </c>
      <c r="CC458" s="335">
        <v>0.99</v>
      </c>
      <c r="CD458" s="334">
        <v>0.96</v>
      </c>
      <c r="CE458" s="334">
        <v>0.93</v>
      </c>
      <c r="CG458" s="333">
        <v>90</v>
      </c>
      <c r="CH458" s="334">
        <v>1</v>
      </c>
      <c r="CI458" s="334">
        <v>1</v>
      </c>
      <c r="CJ458" s="335">
        <v>0.98</v>
      </c>
      <c r="CK458" s="334">
        <v>0.95</v>
      </c>
      <c r="CL458" s="334">
        <v>0.91</v>
      </c>
      <c r="CN458" s="333">
        <v>90</v>
      </c>
      <c r="CO458" s="334">
        <v>1</v>
      </c>
      <c r="CP458" s="334">
        <v>1</v>
      </c>
      <c r="CQ458" s="335">
        <v>0.98</v>
      </c>
      <c r="CR458" s="334">
        <v>0.95</v>
      </c>
      <c r="CS458" s="334">
        <v>0.91</v>
      </c>
    </row>
    <row r="459" spans="3:97" x14ac:dyDescent="0.25">
      <c r="C459" s="333">
        <v>200</v>
      </c>
      <c r="D459" s="334">
        <v>0.86</v>
      </c>
      <c r="E459" s="334">
        <v>0.8</v>
      </c>
      <c r="F459" s="334">
        <v>0.73</v>
      </c>
      <c r="G459" s="335">
        <v>0.64</v>
      </c>
      <c r="H459" s="335">
        <v>0.56000000000000005</v>
      </c>
      <c r="I459" s="334">
        <v>0.49</v>
      </c>
      <c r="J459" s="334">
        <v>0.42</v>
      </c>
      <c r="K459" s="334">
        <v>0.36</v>
      </c>
      <c r="L459" s="334">
        <v>0.33</v>
      </c>
      <c r="M459" s="334">
        <v>0.3</v>
      </c>
      <c r="P459" s="288"/>
      <c r="Q459" s="288"/>
      <c r="R459" s="288"/>
      <c r="S459" s="288"/>
      <c r="T459" s="288"/>
      <c r="W459" s="288"/>
      <c r="X459" s="288"/>
      <c r="Y459" s="288"/>
      <c r="Z459" s="288"/>
      <c r="AA459" s="288"/>
      <c r="AD459" s="288"/>
      <c r="AE459" s="288"/>
      <c r="AF459" s="288"/>
      <c r="AG459" s="288"/>
      <c r="AH459" s="288"/>
      <c r="AK459" s="288"/>
      <c r="AL459" s="288"/>
      <c r="AM459" s="288"/>
      <c r="AN459" s="288"/>
      <c r="AO459" s="288"/>
    </row>
    <row r="460" spans="3:97" x14ac:dyDescent="0.25">
      <c r="C460" s="333">
        <v>210</v>
      </c>
      <c r="D460" s="334">
        <v>0.86</v>
      </c>
      <c r="E460" s="334">
        <v>0.81</v>
      </c>
      <c r="F460" s="334">
        <v>0.74</v>
      </c>
      <c r="G460" s="335">
        <v>0.66</v>
      </c>
      <c r="H460" s="335">
        <v>0.57999999999999996</v>
      </c>
      <c r="I460" s="334">
        <v>0.51</v>
      </c>
      <c r="J460" s="334">
        <v>0.45</v>
      </c>
      <c r="K460" s="334">
        <v>0.4</v>
      </c>
      <c r="L460" s="334">
        <v>0.36</v>
      </c>
      <c r="M460" s="334">
        <v>0.33</v>
      </c>
      <c r="P460" s="288"/>
      <c r="Q460" s="288"/>
      <c r="R460" s="288"/>
      <c r="S460" s="288"/>
      <c r="T460" s="288"/>
      <c r="W460" s="288"/>
      <c r="X460" s="288"/>
      <c r="Y460" s="288"/>
      <c r="Z460" s="288"/>
      <c r="AA460" s="288"/>
      <c r="AD460" s="288"/>
      <c r="AE460" s="288"/>
      <c r="AF460" s="288"/>
      <c r="AG460" s="288"/>
      <c r="AH460" s="288"/>
      <c r="AK460" s="288"/>
      <c r="AL460" s="288"/>
      <c r="AM460" s="288"/>
      <c r="AN460" s="288"/>
      <c r="AO460" s="288"/>
    </row>
    <row r="461" spans="3:97" x14ac:dyDescent="0.25">
      <c r="C461" s="333">
        <v>220</v>
      </c>
      <c r="D461" s="334">
        <v>0.86</v>
      </c>
      <c r="E461" s="334">
        <v>0.81</v>
      </c>
      <c r="F461" s="334">
        <v>0.75</v>
      </c>
      <c r="G461" s="335">
        <v>0.68</v>
      </c>
      <c r="H461" s="335">
        <v>0.62</v>
      </c>
      <c r="I461" s="334">
        <v>0.55000000000000004</v>
      </c>
      <c r="J461" s="334">
        <v>0.5</v>
      </c>
      <c r="K461" s="334">
        <v>0.44</v>
      </c>
      <c r="L461" s="334">
        <v>0.4</v>
      </c>
      <c r="M461" s="334">
        <v>0.36</v>
      </c>
      <c r="P461" s="288"/>
      <c r="Q461" s="288"/>
      <c r="R461" s="288"/>
      <c r="S461" s="288"/>
      <c r="T461" s="288"/>
      <c r="W461" s="288"/>
      <c r="X461" s="288"/>
      <c r="Y461" s="288"/>
      <c r="Z461" s="288"/>
      <c r="AA461" s="288"/>
      <c r="AD461" s="288"/>
      <c r="AE461" s="288"/>
      <c r="AF461" s="288"/>
      <c r="AG461" s="288"/>
      <c r="AH461" s="288"/>
      <c r="AK461" s="288"/>
      <c r="AL461" s="288"/>
      <c r="AM461" s="288"/>
      <c r="AN461" s="288"/>
      <c r="AO461" s="288"/>
    </row>
    <row r="462" spans="3:97" x14ac:dyDescent="0.25">
      <c r="C462" s="333">
        <v>230</v>
      </c>
      <c r="D462" s="334">
        <v>0.86</v>
      </c>
      <c r="E462" s="334">
        <v>0.82</v>
      </c>
      <c r="F462" s="334">
        <v>0.77</v>
      </c>
      <c r="G462" s="335">
        <v>0.71</v>
      </c>
      <c r="H462" s="335">
        <v>0.65</v>
      </c>
      <c r="I462" s="334">
        <v>0.6</v>
      </c>
      <c r="J462" s="334">
        <v>0.54</v>
      </c>
      <c r="K462" s="334">
        <v>0.49</v>
      </c>
      <c r="L462" s="334">
        <v>0.44</v>
      </c>
      <c r="M462" s="334">
        <v>0.4</v>
      </c>
      <c r="P462" s="288"/>
      <c r="Q462" s="288"/>
      <c r="R462" s="288"/>
      <c r="S462" s="288"/>
      <c r="T462" s="288"/>
      <c r="W462" s="288"/>
      <c r="X462" s="288"/>
      <c r="Y462" s="288"/>
      <c r="Z462" s="288"/>
      <c r="AA462" s="288"/>
      <c r="AD462" s="288"/>
      <c r="AE462" s="288"/>
      <c r="AF462" s="288"/>
      <c r="AG462" s="288"/>
      <c r="AH462" s="288"/>
      <c r="AK462" s="288"/>
      <c r="AL462" s="288"/>
      <c r="AM462" s="288"/>
      <c r="AN462" s="288"/>
      <c r="AO462" s="288"/>
    </row>
    <row r="463" spans="3:97" x14ac:dyDescent="0.25">
      <c r="C463" s="333">
        <v>240</v>
      </c>
      <c r="D463" s="334">
        <v>0.86</v>
      </c>
      <c r="E463" s="334">
        <v>0.83</v>
      </c>
      <c r="F463" s="334">
        <v>0.8</v>
      </c>
      <c r="G463" s="335">
        <v>0.75</v>
      </c>
      <c r="H463" s="335">
        <v>0.7</v>
      </c>
      <c r="I463" s="334">
        <v>0.64</v>
      </c>
      <c r="J463" s="334">
        <v>0.59</v>
      </c>
      <c r="K463" s="334">
        <v>0.54</v>
      </c>
      <c r="L463" s="334">
        <v>0.49</v>
      </c>
      <c r="M463" s="334">
        <v>0.44</v>
      </c>
      <c r="P463" s="288"/>
      <c r="Q463" s="288"/>
      <c r="R463" s="288"/>
      <c r="S463" s="288"/>
      <c r="T463" s="288"/>
      <c r="W463" s="288"/>
      <c r="X463" s="288"/>
      <c r="Y463" s="288"/>
      <c r="Z463" s="288"/>
      <c r="AA463" s="288"/>
      <c r="AD463" s="288"/>
      <c r="AE463" s="288"/>
      <c r="AF463" s="288"/>
      <c r="AG463" s="288"/>
      <c r="AH463" s="288"/>
      <c r="AK463" s="288"/>
      <c r="AL463" s="288"/>
      <c r="AM463" s="288"/>
      <c r="AN463" s="288"/>
      <c r="AO463" s="288"/>
    </row>
    <row r="464" spans="3:97" x14ac:dyDescent="0.25">
      <c r="C464" s="333">
        <v>250</v>
      </c>
      <c r="D464" s="334">
        <v>0.86</v>
      </c>
      <c r="E464" s="334">
        <v>0.84</v>
      </c>
      <c r="F464" s="334">
        <v>0.82</v>
      </c>
      <c r="G464" s="335">
        <v>0.78</v>
      </c>
      <c r="H464" s="335">
        <v>0.74</v>
      </c>
      <c r="I464" s="334">
        <v>0.69</v>
      </c>
      <c r="J464" s="334">
        <v>0.64</v>
      </c>
      <c r="K464" s="334">
        <v>0.59</v>
      </c>
      <c r="L464" s="334">
        <v>0.54</v>
      </c>
      <c r="M464" s="334">
        <v>0.49</v>
      </c>
      <c r="P464" s="288"/>
      <c r="Q464" s="288"/>
      <c r="R464" s="288"/>
      <c r="S464" s="288"/>
      <c r="T464" s="288"/>
      <c r="W464" s="288"/>
      <c r="X464" s="288"/>
      <c r="Y464" s="288"/>
      <c r="Z464" s="288"/>
      <c r="AA464" s="288"/>
      <c r="AD464" s="288"/>
      <c r="AE464" s="288"/>
      <c r="AF464" s="288"/>
      <c r="AG464" s="288"/>
      <c r="AH464" s="288"/>
      <c r="AK464" s="288"/>
      <c r="AL464" s="288"/>
      <c r="AM464" s="288"/>
      <c r="AN464" s="288"/>
      <c r="AO464" s="288"/>
    </row>
    <row r="465" spans="3:97" x14ac:dyDescent="0.25">
      <c r="C465" s="333">
        <v>260</v>
      </c>
      <c r="D465" s="334">
        <v>0.86</v>
      </c>
      <c r="E465" s="334">
        <v>0.85</v>
      </c>
      <c r="F465" s="334">
        <v>0.84</v>
      </c>
      <c r="G465" s="335">
        <v>0.81</v>
      </c>
      <c r="H465" s="335">
        <v>0.78</v>
      </c>
      <c r="I465" s="334">
        <v>0.74</v>
      </c>
      <c r="J465" s="334">
        <v>0.69</v>
      </c>
      <c r="K465" s="334">
        <v>0.64</v>
      </c>
      <c r="L465" s="334">
        <v>0.57999999999999996</v>
      </c>
      <c r="M465" s="334">
        <v>0.53</v>
      </c>
      <c r="P465" s="288"/>
      <c r="Q465" s="288"/>
      <c r="R465" s="288"/>
      <c r="S465" s="288"/>
      <c r="T465" s="288"/>
      <c r="W465" s="288"/>
      <c r="X465" s="288"/>
      <c r="Y465" s="288"/>
      <c r="Z465" s="288"/>
      <c r="AA465" s="288"/>
      <c r="AD465" s="288"/>
      <c r="AE465" s="288"/>
      <c r="AF465" s="288"/>
      <c r="AG465" s="288"/>
      <c r="AH465" s="288"/>
      <c r="AK465" s="288"/>
      <c r="AL465" s="288"/>
      <c r="AM465" s="288"/>
      <c r="AN465" s="288"/>
      <c r="AO465" s="288"/>
    </row>
    <row r="466" spans="3:97" x14ac:dyDescent="0.25">
      <c r="C466" s="333">
        <v>270</v>
      </c>
      <c r="D466" s="334">
        <v>0.86</v>
      </c>
      <c r="E466" s="334">
        <v>0.87</v>
      </c>
      <c r="F466" s="334">
        <v>0.87</v>
      </c>
      <c r="G466" s="335">
        <v>0.85</v>
      </c>
      <c r="H466" s="335">
        <v>0.82</v>
      </c>
      <c r="I466" s="334">
        <v>0.78</v>
      </c>
      <c r="J466" s="334">
        <v>0.74</v>
      </c>
      <c r="K466" s="334">
        <v>0.68</v>
      </c>
      <c r="L466" s="334">
        <v>0.63</v>
      </c>
      <c r="M466" s="334">
        <v>0.56000000000000005</v>
      </c>
      <c r="P466" s="288"/>
      <c r="Q466" s="288"/>
      <c r="R466" s="288"/>
      <c r="S466" s="288"/>
      <c r="T466" s="288"/>
      <c r="W466" s="288"/>
      <c r="X466" s="288"/>
      <c r="Y466" s="288"/>
      <c r="Z466" s="288"/>
      <c r="AA466" s="288"/>
      <c r="AD466" s="288"/>
      <c r="AE466" s="288"/>
      <c r="AF466" s="288"/>
      <c r="AG466" s="288"/>
      <c r="AH466" s="288"/>
      <c r="AK466" s="288"/>
      <c r="AL466" s="288"/>
      <c r="AM466" s="288"/>
      <c r="AN466" s="288"/>
      <c r="AO466" s="288"/>
    </row>
    <row r="467" spans="3:97" x14ac:dyDescent="0.25">
      <c r="C467" s="333">
        <v>280</v>
      </c>
      <c r="D467" s="334">
        <v>0.86</v>
      </c>
      <c r="E467" s="334">
        <v>0.88</v>
      </c>
      <c r="F467" s="334">
        <v>0.88</v>
      </c>
      <c r="G467" s="335">
        <v>0.88</v>
      </c>
      <c r="H467" s="335">
        <v>0.85</v>
      </c>
      <c r="I467" s="334">
        <v>0.82</v>
      </c>
      <c r="J467" s="334">
        <v>0.78</v>
      </c>
      <c r="K467" s="334">
        <v>0.73</v>
      </c>
      <c r="L467" s="334">
        <v>0.67</v>
      </c>
      <c r="M467" s="334">
        <v>0.59</v>
      </c>
      <c r="P467" s="288"/>
      <c r="Q467" s="288"/>
      <c r="R467" s="288"/>
      <c r="S467" s="288"/>
      <c r="T467" s="288"/>
      <c r="W467" s="288"/>
      <c r="X467" s="288"/>
      <c r="Y467" s="288"/>
      <c r="Z467" s="288"/>
      <c r="AA467" s="288"/>
      <c r="AD467" s="288"/>
      <c r="AE467" s="288"/>
      <c r="AF467" s="288"/>
      <c r="AG467" s="288"/>
      <c r="AH467" s="288"/>
      <c r="AK467" s="288"/>
      <c r="AL467" s="288"/>
      <c r="AM467" s="288"/>
      <c r="AN467" s="288"/>
      <c r="AO467" s="288"/>
    </row>
    <row r="468" spans="3:97" x14ac:dyDescent="0.25">
      <c r="C468" s="333">
        <v>290</v>
      </c>
      <c r="D468" s="334">
        <v>0.86</v>
      </c>
      <c r="E468" s="334">
        <v>0.89</v>
      </c>
      <c r="F468" s="334">
        <v>0.91</v>
      </c>
      <c r="G468" s="335">
        <v>0.91</v>
      </c>
      <c r="H468" s="335">
        <v>0.89</v>
      </c>
      <c r="I468" s="334">
        <v>0.86</v>
      </c>
      <c r="J468" s="334">
        <v>0.82</v>
      </c>
      <c r="K468" s="334">
        <v>0.76</v>
      </c>
      <c r="L468" s="334">
        <v>0.7</v>
      </c>
      <c r="M468" s="334">
        <v>0.62</v>
      </c>
      <c r="P468" s="288"/>
      <c r="Q468" s="288"/>
      <c r="R468" s="288"/>
      <c r="S468" s="288"/>
      <c r="T468" s="288"/>
      <c r="W468" s="288"/>
      <c r="X468" s="288"/>
      <c r="Y468" s="288"/>
      <c r="Z468" s="288"/>
      <c r="AA468" s="288"/>
      <c r="AD468" s="288"/>
      <c r="AE468" s="288"/>
      <c r="AF468" s="288"/>
      <c r="AG468" s="288"/>
      <c r="AH468" s="288"/>
      <c r="AK468" s="288"/>
      <c r="AL468" s="288"/>
      <c r="AM468" s="288"/>
      <c r="AN468" s="288"/>
      <c r="AO468" s="288"/>
    </row>
    <row r="469" spans="3:97" x14ac:dyDescent="0.25">
      <c r="C469" s="333">
        <v>300</v>
      </c>
      <c r="D469" s="334">
        <v>0.86</v>
      </c>
      <c r="E469" s="334">
        <v>0.9</v>
      </c>
      <c r="F469" s="334">
        <v>0.92</v>
      </c>
      <c r="G469" s="335">
        <v>0.93</v>
      </c>
      <c r="H469" s="335">
        <v>0.92</v>
      </c>
      <c r="I469" s="334">
        <v>0.89</v>
      </c>
      <c r="J469" s="334">
        <v>0.85</v>
      </c>
      <c r="K469" s="334">
        <v>0.8</v>
      </c>
      <c r="L469" s="334">
        <v>0.73</v>
      </c>
      <c r="M469" s="334">
        <v>0.64</v>
      </c>
      <c r="P469" s="288"/>
      <c r="Q469" s="288"/>
      <c r="R469" s="288"/>
      <c r="S469" s="288"/>
      <c r="T469" s="288"/>
      <c r="W469" s="288"/>
      <c r="X469" s="288"/>
      <c r="Y469" s="288"/>
      <c r="Z469" s="288"/>
      <c r="AA469" s="288"/>
      <c r="AD469" s="288"/>
      <c r="AE469" s="288"/>
      <c r="AF469" s="288"/>
      <c r="AG469" s="288"/>
      <c r="AH469" s="288"/>
      <c r="AK469" s="288"/>
      <c r="AL469" s="288"/>
      <c r="AM469" s="288"/>
      <c r="AN469" s="288"/>
      <c r="AO469" s="288"/>
    </row>
    <row r="470" spans="3:97" x14ac:dyDescent="0.25">
      <c r="C470" s="333">
        <v>310</v>
      </c>
      <c r="D470" s="334">
        <v>0.86</v>
      </c>
      <c r="E470" s="334">
        <v>0.91</v>
      </c>
      <c r="F470" s="334">
        <v>0.94</v>
      </c>
      <c r="G470" s="335">
        <v>0.95</v>
      </c>
      <c r="H470" s="335">
        <v>0.95</v>
      </c>
      <c r="I470" s="334">
        <v>0.92</v>
      </c>
      <c r="J470" s="334">
        <v>0.88</v>
      </c>
      <c r="K470" s="334">
        <v>0.82</v>
      </c>
      <c r="L470" s="334">
        <v>0.74</v>
      </c>
      <c r="M470" s="334">
        <v>0.66</v>
      </c>
      <c r="P470" s="288"/>
      <c r="Q470" s="288"/>
      <c r="R470" s="288"/>
      <c r="S470" s="288"/>
      <c r="T470" s="288"/>
      <c r="W470" s="288"/>
      <c r="X470" s="288"/>
      <c r="Y470" s="288"/>
      <c r="Z470" s="288"/>
      <c r="AA470" s="288"/>
      <c r="AD470" s="288"/>
      <c r="AE470" s="288"/>
      <c r="AF470" s="288"/>
      <c r="AG470" s="288"/>
      <c r="AH470" s="288"/>
      <c r="AK470" s="288"/>
      <c r="AL470" s="288"/>
      <c r="AM470" s="288"/>
      <c r="AN470" s="288"/>
      <c r="AO470" s="288"/>
    </row>
    <row r="471" spans="3:97" x14ac:dyDescent="0.25">
      <c r="C471" s="333">
        <v>320</v>
      </c>
      <c r="D471" s="334">
        <v>0.86</v>
      </c>
      <c r="E471" s="334">
        <v>0.92</v>
      </c>
      <c r="F471" s="334">
        <v>0.95</v>
      </c>
      <c r="G471" s="335">
        <v>0.97</v>
      </c>
      <c r="H471" s="335">
        <v>0.97</v>
      </c>
      <c r="I471" s="334">
        <v>0.95</v>
      </c>
      <c r="J471" s="334">
        <v>0.9</v>
      </c>
      <c r="K471" s="334">
        <v>0.84</v>
      </c>
      <c r="L471" s="334">
        <v>0.76</v>
      </c>
      <c r="M471" s="334">
        <v>0.67</v>
      </c>
      <c r="P471" s="288"/>
      <c r="Q471" s="288"/>
      <c r="R471" s="288"/>
      <c r="S471" s="288"/>
      <c r="T471" s="288"/>
      <c r="W471" s="288"/>
      <c r="X471" s="288"/>
      <c r="Y471" s="288"/>
      <c r="Z471" s="288"/>
      <c r="AA471" s="288"/>
      <c r="AD471" s="288"/>
      <c r="AE471" s="288"/>
      <c r="AF471" s="288"/>
      <c r="AG471" s="288"/>
      <c r="AH471" s="288"/>
      <c r="AK471" s="288"/>
      <c r="AL471" s="288"/>
      <c r="AM471" s="288"/>
      <c r="AN471" s="288"/>
      <c r="AO471" s="288"/>
    </row>
    <row r="472" spans="3:97" x14ac:dyDescent="0.25">
      <c r="C472" s="333">
        <v>330</v>
      </c>
      <c r="D472" s="334">
        <v>0.86</v>
      </c>
      <c r="E472" s="334">
        <v>0.92</v>
      </c>
      <c r="F472" s="334">
        <v>0.96</v>
      </c>
      <c r="G472" s="335">
        <v>0.99</v>
      </c>
      <c r="H472" s="335">
        <v>0.98</v>
      </c>
      <c r="I472" s="334">
        <v>0.96</v>
      </c>
      <c r="J472" s="334">
        <v>0.92</v>
      </c>
      <c r="K472" s="334">
        <v>0.85</v>
      </c>
      <c r="L472" s="334">
        <v>0.77</v>
      </c>
      <c r="M472" s="334">
        <v>0.68</v>
      </c>
      <c r="P472" s="288"/>
      <c r="Q472" s="288"/>
      <c r="R472" s="288"/>
      <c r="S472" s="288"/>
      <c r="T472" s="288"/>
      <c r="W472" s="288"/>
      <c r="X472" s="288"/>
      <c r="Y472" s="288"/>
      <c r="Z472" s="288"/>
      <c r="AA472" s="288"/>
      <c r="AD472" s="288"/>
      <c r="AE472" s="288"/>
      <c r="AF472" s="288"/>
      <c r="AG472" s="288"/>
      <c r="AH472" s="288"/>
      <c r="AK472" s="288"/>
      <c r="AL472" s="288"/>
      <c r="AM472" s="288"/>
      <c r="AN472" s="288"/>
      <c r="AO472" s="288"/>
    </row>
    <row r="473" spans="3:97" x14ac:dyDescent="0.25">
      <c r="C473" s="333">
        <v>340</v>
      </c>
      <c r="D473" s="334">
        <v>0.86</v>
      </c>
      <c r="E473" s="334">
        <v>0.92</v>
      </c>
      <c r="F473" s="334">
        <v>0.97</v>
      </c>
      <c r="G473" s="335">
        <v>0.99</v>
      </c>
      <c r="H473" s="335">
        <v>0.99</v>
      </c>
      <c r="I473" s="334">
        <v>0.97</v>
      </c>
      <c r="J473" s="334">
        <v>0.93</v>
      </c>
      <c r="K473" s="334">
        <v>0.86</v>
      </c>
      <c r="L473" s="334">
        <v>0.78</v>
      </c>
      <c r="M473" s="334">
        <v>0.68</v>
      </c>
      <c r="P473" s="288"/>
      <c r="Q473" s="288"/>
      <c r="R473" s="288"/>
      <c r="S473" s="288"/>
      <c r="T473" s="288"/>
      <c r="W473" s="288"/>
      <c r="X473" s="288"/>
      <c r="Y473" s="288"/>
      <c r="Z473" s="288"/>
      <c r="AA473" s="288"/>
      <c r="AD473" s="288"/>
      <c r="AE473" s="288"/>
      <c r="AF473" s="288"/>
      <c r="AG473" s="288"/>
      <c r="AH473" s="288"/>
      <c r="AK473" s="288"/>
      <c r="AL473" s="288"/>
      <c r="AM473" s="288"/>
      <c r="AN473" s="288"/>
      <c r="AO473" s="288"/>
    </row>
    <row r="474" spans="3:97" x14ac:dyDescent="0.25">
      <c r="C474" s="333">
        <v>350</v>
      </c>
      <c r="D474" s="334">
        <v>0.86</v>
      </c>
      <c r="E474" s="334">
        <v>0.93</v>
      </c>
      <c r="F474" s="334">
        <v>0.98</v>
      </c>
      <c r="G474" s="334">
        <v>1</v>
      </c>
      <c r="H474" s="334">
        <v>1</v>
      </c>
      <c r="I474" s="334">
        <v>0.98</v>
      </c>
      <c r="J474" s="334">
        <v>0.93</v>
      </c>
      <c r="K474" s="334">
        <v>0.87</v>
      </c>
      <c r="L474" s="334">
        <v>0.78</v>
      </c>
      <c r="M474" s="334">
        <v>0.67</v>
      </c>
      <c r="P474" s="288"/>
      <c r="Q474" s="288"/>
      <c r="R474" s="288"/>
      <c r="S474" s="288"/>
      <c r="T474" s="288"/>
      <c r="W474" s="288"/>
      <c r="X474" s="288"/>
      <c r="Y474" s="288"/>
      <c r="Z474" s="288"/>
      <c r="AA474" s="288"/>
      <c r="AD474" s="288"/>
      <c r="AE474" s="288"/>
      <c r="AF474" s="288"/>
      <c r="AG474" s="288"/>
      <c r="AH474" s="288"/>
      <c r="AK474" s="288"/>
      <c r="AL474" s="288"/>
      <c r="AM474" s="288"/>
      <c r="AN474" s="288"/>
      <c r="AO474" s="288"/>
    </row>
    <row r="475" spans="3:97" x14ac:dyDescent="0.25">
      <c r="F475" s="260"/>
      <c r="P475" s="288"/>
      <c r="Q475" s="288"/>
      <c r="R475" s="288"/>
      <c r="S475" s="288"/>
      <c r="T475" s="288"/>
      <c r="W475" s="288"/>
      <c r="X475" s="288"/>
      <c r="Y475" s="288"/>
      <c r="Z475" s="288"/>
      <c r="AA475" s="288"/>
      <c r="AD475" s="288"/>
      <c r="AE475" s="288"/>
      <c r="AF475" s="288"/>
      <c r="AG475" s="288"/>
      <c r="AH475" s="288"/>
      <c r="AK475" s="288"/>
      <c r="AL475" s="288"/>
      <c r="AM475" s="288"/>
      <c r="AN475" s="288"/>
      <c r="AO475" s="288"/>
    </row>
    <row r="476" spans="3:97" x14ac:dyDescent="0.25">
      <c r="F476" s="260"/>
      <c r="P476" s="288"/>
      <c r="Q476" s="288"/>
      <c r="R476" s="288"/>
      <c r="S476" s="288"/>
      <c r="T476" s="288"/>
      <c r="W476" s="288"/>
      <c r="X476" s="288"/>
      <c r="Y476" s="288"/>
      <c r="Z476" s="288"/>
      <c r="AA476" s="288"/>
      <c r="AD476" s="288"/>
      <c r="AE476" s="288"/>
      <c r="AF476" s="288"/>
      <c r="AG476" s="288"/>
      <c r="AH476" s="288"/>
      <c r="AK476" s="288"/>
      <c r="AL476" s="288"/>
      <c r="AM476" s="288"/>
      <c r="AN476" s="288"/>
      <c r="AO476" s="288"/>
    </row>
    <row r="477" spans="3:97" x14ac:dyDescent="0.25">
      <c r="C477" s="415" t="s">
        <v>228</v>
      </c>
      <c r="D477" s="415"/>
      <c r="E477" s="415"/>
      <c r="F477" s="415"/>
      <c r="G477" s="415"/>
      <c r="H477" s="415"/>
      <c r="I477" s="415"/>
      <c r="J477" s="415"/>
      <c r="K477" s="415"/>
      <c r="L477" s="415"/>
      <c r="M477" s="415"/>
      <c r="O477" s="279" t="s">
        <v>501</v>
      </c>
    </row>
    <row r="478" spans="3:97" ht="15.75" customHeight="1" x14ac:dyDescent="0.25">
      <c r="C478" s="416" t="s">
        <v>221</v>
      </c>
      <c r="D478" s="416" t="s">
        <v>222</v>
      </c>
      <c r="E478" s="416"/>
      <c r="F478" s="416"/>
      <c r="G478" s="416"/>
      <c r="H478" s="416"/>
      <c r="I478" s="416"/>
      <c r="J478" s="416"/>
      <c r="K478" s="416"/>
      <c r="L478" s="416"/>
      <c r="M478" s="416"/>
      <c r="O478" s="415" t="str">
        <f>O477&amp;" - Janurary"</f>
        <v>ADELAIDE - Janurary</v>
      </c>
      <c r="P478" s="415"/>
      <c r="Q478" s="415"/>
      <c r="R478" s="415"/>
      <c r="S478" s="415"/>
      <c r="T478" s="415"/>
      <c r="V478" s="415" t="str">
        <f>O477&amp;" - February"</f>
        <v>ADELAIDE - February</v>
      </c>
      <c r="W478" s="415"/>
      <c r="X478" s="415"/>
      <c r="Y478" s="415"/>
      <c r="Z478" s="415"/>
      <c r="AA478" s="415"/>
      <c r="AC478" s="415" t="str">
        <f>O477&amp;" - March"</f>
        <v>ADELAIDE - March</v>
      </c>
      <c r="AD478" s="415"/>
      <c r="AE478" s="415"/>
      <c r="AF478" s="415"/>
      <c r="AG478" s="415"/>
      <c r="AH478" s="415"/>
      <c r="AJ478" s="415" t="str">
        <f>O477&amp;" - April"</f>
        <v>ADELAIDE - April</v>
      </c>
      <c r="AK478" s="415"/>
      <c r="AL478" s="415"/>
      <c r="AM478" s="415"/>
      <c r="AN478" s="415"/>
      <c r="AO478" s="415"/>
      <c r="AQ478" s="415" t="str">
        <f>O477&amp;" - May"</f>
        <v>ADELAIDE - May</v>
      </c>
      <c r="AR478" s="415"/>
      <c r="AS478" s="415"/>
      <c r="AT478" s="415"/>
      <c r="AU478" s="415"/>
      <c r="AV478" s="415"/>
      <c r="AX478" s="415" t="str">
        <f>O477&amp;" - June"</f>
        <v>ADELAIDE - June</v>
      </c>
      <c r="AY478" s="415"/>
      <c r="AZ478" s="415"/>
      <c r="BA478" s="415"/>
      <c r="BB478" s="415"/>
      <c r="BC478" s="415"/>
      <c r="BE478" s="415" t="str">
        <f>O477&amp;" - July"</f>
        <v>ADELAIDE - July</v>
      </c>
      <c r="BF478" s="415"/>
      <c r="BG478" s="415"/>
      <c r="BH478" s="415"/>
      <c r="BI478" s="415"/>
      <c r="BJ478" s="415"/>
      <c r="BL478" s="415" t="str">
        <f>O477&amp;" - August"</f>
        <v>ADELAIDE - August</v>
      </c>
      <c r="BM478" s="415"/>
      <c r="BN478" s="415"/>
      <c r="BO478" s="415"/>
      <c r="BP478" s="415"/>
      <c r="BQ478" s="415"/>
      <c r="BS478" s="415" t="str">
        <f>O477&amp;" - September"</f>
        <v>ADELAIDE - September</v>
      </c>
      <c r="BT478" s="415"/>
      <c r="BU478" s="415"/>
      <c r="BV478" s="415"/>
      <c r="BW478" s="415"/>
      <c r="BX478" s="415"/>
      <c r="BZ478" s="415" t="str">
        <f>O477&amp;" - October"</f>
        <v>ADELAIDE - October</v>
      </c>
      <c r="CA478" s="415"/>
      <c r="CB478" s="415"/>
      <c r="CC478" s="415"/>
      <c r="CD478" s="415"/>
      <c r="CE478" s="415"/>
      <c r="CG478" s="415" t="str">
        <f>O477&amp;" - November"</f>
        <v>ADELAIDE - November</v>
      </c>
      <c r="CH478" s="415"/>
      <c r="CI478" s="415"/>
      <c r="CJ478" s="415"/>
      <c r="CK478" s="415"/>
      <c r="CL478" s="415"/>
      <c r="CN478" s="415" t="str">
        <f>O477&amp;" - December"</f>
        <v>ADELAIDE - December</v>
      </c>
      <c r="CO478" s="415"/>
      <c r="CP478" s="415"/>
      <c r="CQ478" s="415"/>
      <c r="CR478" s="415"/>
      <c r="CS478" s="415"/>
    </row>
    <row r="479" spans="3:97" ht="15.75" customHeight="1" x14ac:dyDescent="0.25">
      <c r="C479" s="416"/>
      <c r="D479" s="333">
        <v>0</v>
      </c>
      <c r="E479" s="333">
        <v>10</v>
      </c>
      <c r="F479" s="333">
        <v>20</v>
      </c>
      <c r="G479" s="333">
        <v>30</v>
      </c>
      <c r="H479" s="333">
        <v>40</v>
      </c>
      <c r="I479" s="333">
        <v>50</v>
      </c>
      <c r="J479" s="333">
        <v>60</v>
      </c>
      <c r="K479" s="333">
        <v>70</v>
      </c>
      <c r="L479" s="333">
        <v>80</v>
      </c>
      <c r="M479" s="333">
        <v>90</v>
      </c>
      <c r="O479" s="416" t="s">
        <v>221</v>
      </c>
      <c r="P479" s="416" t="s">
        <v>222</v>
      </c>
      <c r="Q479" s="416"/>
      <c r="R479" s="416"/>
      <c r="S479" s="416"/>
      <c r="T479" s="416"/>
      <c r="V479" s="416" t="s">
        <v>221</v>
      </c>
      <c r="W479" s="416" t="s">
        <v>222</v>
      </c>
      <c r="X479" s="416"/>
      <c r="Y479" s="416"/>
      <c r="Z479" s="416"/>
      <c r="AA479" s="416"/>
      <c r="AC479" s="416" t="s">
        <v>221</v>
      </c>
      <c r="AD479" s="416" t="s">
        <v>222</v>
      </c>
      <c r="AE479" s="416"/>
      <c r="AF479" s="416"/>
      <c r="AG479" s="416"/>
      <c r="AH479" s="416"/>
      <c r="AJ479" s="416" t="s">
        <v>221</v>
      </c>
      <c r="AK479" s="416" t="s">
        <v>222</v>
      </c>
      <c r="AL479" s="416"/>
      <c r="AM479" s="416"/>
      <c r="AN479" s="416"/>
      <c r="AO479" s="416"/>
      <c r="AQ479" s="416" t="s">
        <v>221</v>
      </c>
      <c r="AR479" s="416" t="s">
        <v>222</v>
      </c>
      <c r="AS479" s="416"/>
      <c r="AT479" s="416"/>
      <c r="AU479" s="416"/>
      <c r="AV479" s="416"/>
      <c r="AX479" s="416" t="s">
        <v>221</v>
      </c>
      <c r="AY479" s="416" t="s">
        <v>222</v>
      </c>
      <c r="AZ479" s="416"/>
      <c r="BA479" s="416"/>
      <c r="BB479" s="416"/>
      <c r="BC479" s="416"/>
      <c r="BE479" s="416" t="s">
        <v>221</v>
      </c>
      <c r="BF479" s="416" t="s">
        <v>222</v>
      </c>
      <c r="BG479" s="416"/>
      <c r="BH479" s="416"/>
      <c r="BI479" s="416"/>
      <c r="BJ479" s="416"/>
      <c r="BL479" s="416" t="s">
        <v>221</v>
      </c>
      <c r="BM479" s="416" t="s">
        <v>222</v>
      </c>
      <c r="BN479" s="416"/>
      <c r="BO479" s="416"/>
      <c r="BP479" s="416"/>
      <c r="BQ479" s="416"/>
      <c r="BS479" s="416" t="s">
        <v>221</v>
      </c>
      <c r="BT479" s="416" t="s">
        <v>222</v>
      </c>
      <c r="BU479" s="416"/>
      <c r="BV479" s="416"/>
      <c r="BW479" s="416"/>
      <c r="BX479" s="416"/>
      <c r="BZ479" s="416" t="s">
        <v>221</v>
      </c>
      <c r="CA479" s="416" t="s">
        <v>222</v>
      </c>
      <c r="CB479" s="416"/>
      <c r="CC479" s="416"/>
      <c r="CD479" s="416"/>
      <c r="CE479" s="416"/>
      <c r="CG479" s="416" t="s">
        <v>221</v>
      </c>
      <c r="CH479" s="416" t="s">
        <v>222</v>
      </c>
      <c r="CI479" s="416"/>
      <c r="CJ479" s="416"/>
      <c r="CK479" s="416"/>
      <c r="CL479" s="416"/>
      <c r="CN479" s="416" t="s">
        <v>221</v>
      </c>
      <c r="CO479" s="416" t="s">
        <v>222</v>
      </c>
      <c r="CP479" s="416"/>
      <c r="CQ479" s="416"/>
      <c r="CR479" s="416"/>
      <c r="CS479" s="416"/>
    </row>
    <row r="480" spans="3:97" x14ac:dyDescent="0.25">
      <c r="C480" s="333">
        <v>0</v>
      </c>
      <c r="D480" s="334">
        <v>0.87</v>
      </c>
      <c r="E480" s="334">
        <v>0.94</v>
      </c>
      <c r="F480" s="334">
        <v>0.98</v>
      </c>
      <c r="G480" s="334">
        <v>1</v>
      </c>
      <c r="H480" s="334">
        <v>0.99</v>
      </c>
      <c r="I480" s="334">
        <v>0.96</v>
      </c>
      <c r="J480" s="334">
        <v>0.91</v>
      </c>
      <c r="K480" s="334">
        <v>0.83</v>
      </c>
      <c r="L480" s="334">
        <v>0.74</v>
      </c>
      <c r="M480" s="334">
        <v>0.63</v>
      </c>
      <c r="O480" s="416"/>
      <c r="P480" s="333">
        <v>0</v>
      </c>
      <c r="Q480" s="333">
        <v>10</v>
      </c>
      <c r="R480" s="333">
        <v>20</v>
      </c>
      <c r="S480" s="333">
        <v>30</v>
      </c>
      <c r="T480" s="333">
        <v>40</v>
      </c>
      <c r="V480" s="416"/>
      <c r="W480" s="333">
        <v>0</v>
      </c>
      <c r="X480" s="333">
        <v>10</v>
      </c>
      <c r="Y480" s="333">
        <v>20</v>
      </c>
      <c r="Z480" s="333">
        <v>30</v>
      </c>
      <c r="AA480" s="333">
        <v>40</v>
      </c>
      <c r="AC480" s="416"/>
      <c r="AD480" s="333">
        <v>0</v>
      </c>
      <c r="AE480" s="333">
        <v>10</v>
      </c>
      <c r="AF480" s="333">
        <v>20</v>
      </c>
      <c r="AG480" s="333">
        <v>30</v>
      </c>
      <c r="AH480" s="333">
        <v>40</v>
      </c>
      <c r="AJ480" s="416"/>
      <c r="AK480" s="333">
        <v>0</v>
      </c>
      <c r="AL480" s="333">
        <v>10</v>
      </c>
      <c r="AM480" s="333">
        <v>20</v>
      </c>
      <c r="AN480" s="333">
        <v>30</v>
      </c>
      <c r="AO480" s="333">
        <v>40</v>
      </c>
      <c r="AQ480" s="416"/>
      <c r="AR480" s="333">
        <v>0</v>
      </c>
      <c r="AS480" s="333">
        <v>10</v>
      </c>
      <c r="AT480" s="333">
        <v>20</v>
      </c>
      <c r="AU480" s="333">
        <v>30</v>
      </c>
      <c r="AV480" s="333">
        <v>40</v>
      </c>
      <c r="AX480" s="416"/>
      <c r="AY480" s="333">
        <v>0</v>
      </c>
      <c r="AZ480" s="333">
        <v>10</v>
      </c>
      <c r="BA480" s="333">
        <v>20</v>
      </c>
      <c r="BB480" s="333">
        <v>30</v>
      </c>
      <c r="BC480" s="333">
        <v>40</v>
      </c>
      <c r="BE480" s="416"/>
      <c r="BF480" s="333">
        <v>0</v>
      </c>
      <c r="BG480" s="333">
        <v>10</v>
      </c>
      <c r="BH480" s="333">
        <v>20</v>
      </c>
      <c r="BI480" s="333">
        <v>30</v>
      </c>
      <c r="BJ480" s="333">
        <v>40</v>
      </c>
      <c r="BL480" s="416"/>
      <c r="BM480" s="333">
        <v>0</v>
      </c>
      <c r="BN480" s="333">
        <v>10</v>
      </c>
      <c r="BO480" s="333">
        <v>20</v>
      </c>
      <c r="BP480" s="333">
        <v>30</v>
      </c>
      <c r="BQ480" s="333">
        <v>40</v>
      </c>
      <c r="BS480" s="416"/>
      <c r="BT480" s="333">
        <v>0</v>
      </c>
      <c r="BU480" s="333">
        <v>10</v>
      </c>
      <c r="BV480" s="333">
        <v>20</v>
      </c>
      <c r="BW480" s="333">
        <v>30</v>
      </c>
      <c r="BX480" s="333">
        <v>40</v>
      </c>
      <c r="BZ480" s="416"/>
      <c r="CA480" s="333">
        <v>0</v>
      </c>
      <c r="CB480" s="333">
        <v>10</v>
      </c>
      <c r="CC480" s="333">
        <v>20</v>
      </c>
      <c r="CD480" s="333">
        <v>30</v>
      </c>
      <c r="CE480" s="333">
        <v>40</v>
      </c>
      <c r="CG480" s="416"/>
      <c r="CH480" s="333">
        <v>0</v>
      </c>
      <c r="CI480" s="333">
        <v>10</v>
      </c>
      <c r="CJ480" s="333">
        <v>20</v>
      </c>
      <c r="CK480" s="333">
        <v>30</v>
      </c>
      <c r="CL480" s="333">
        <v>40</v>
      </c>
      <c r="CN480" s="416"/>
      <c r="CO480" s="333">
        <v>0</v>
      </c>
      <c r="CP480" s="333">
        <v>10</v>
      </c>
      <c r="CQ480" s="333">
        <v>20</v>
      </c>
      <c r="CR480" s="333">
        <v>30</v>
      </c>
      <c r="CS480" s="333">
        <v>40</v>
      </c>
    </row>
    <row r="481" spans="3:97" x14ac:dyDescent="0.25">
      <c r="C481" s="333">
        <v>10</v>
      </c>
      <c r="D481" s="334">
        <v>0.87</v>
      </c>
      <c r="E481" s="334">
        <v>0.94</v>
      </c>
      <c r="F481" s="334">
        <v>0.98</v>
      </c>
      <c r="G481" s="334">
        <v>1</v>
      </c>
      <c r="H481" s="334">
        <v>0.99</v>
      </c>
      <c r="I481" s="334">
        <v>0.96</v>
      </c>
      <c r="J481" s="334">
        <v>0.9</v>
      </c>
      <c r="K481" s="334">
        <v>0.83</v>
      </c>
      <c r="L481" s="334">
        <v>0.74</v>
      </c>
      <c r="M481" s="334">
        <v>0.63</v>
      </c>
      <c r="O481" s="333">
        <v>270</v>
      </c>
      <c r="P481" s="334">
        <v>1</v>
      </c>
      <c r="Q481" s="334">
        <v>1.01</v>
      </c>
      <c r="R481" s="334">
        <v>1</v>
      </c>
      <c r="S481" s="334">
        <v>0.97</v>
      </c>
      <c r="T481" s="334">
        <v>0.93</v>
      </c>
      <c r="V481" s="333">
        <v>270</v>
      </c>
      <c r="W481" s="334">
        <v>1</v>
      </c>
      <c r="X481" s="334">
        <v>1.01</v>
      </c>
      <c r="Y481" s="334">
        <v>1</v>
      </c>
      <c r="Z481" s="334">
        <v>0.97</v>
      </c>
      <c r="AA481" s="334">
        <v>0.94</v>
      </c>
      <c r="AC481" s="333">
        <v>270</v>
      </c>
      <c r="AD481" s="334">
        <v>1</v>
      </c>
      <c r="AE481" s="334">
        <v>1.01</v>
      </c>
      <c r="AF481" s="334">
        <v>1.01</v>
      </c>
      <c r="AG481" s="334">
        <v>1</v>
      </c>
      <c r="AH481" s="334">
        <v>0.97</v>
      </c>
      <c r="AJ481" s="333">
        <v>270</v>
      </c>
      <c r="AK481" s="334">
        <v>1</v>
      </c>
      <c r="AL481" s="334">
        <v>1.01</v>
      </c>
      <c r="AM481" s="334">
        <v>1.01</v>
      </c>
      <c r="AN481" s="334">
        <v>1.01</v>
      </c>
      <c r="AO481" s="334">
        <v>0.99</v>
      </c>
      <c r="AQ481" s="333">
        <v>270</v>
      </c>
      <c r="AR481" s="334">
        <v>1</v>
      </c>
      <c r="AS481" s="334">
        <v>1.01</v>
      </c>
      <c r="AT481" s="334">
        <v>1.02</v>
      </c>
      <c r="AU481" s="334">
        <v>1.02</v>
      </c>
      <c r="AV481" s="334">
        <v>1</v>
      </c>
      <c r="AX481" s="333">
        <v>270</v>
      </c>
      <c r="AY481" s="334">
        <v>1</v>
      </c>
      <c r="AZ481" s="334">
        <v>1.01</v>
      </c>
      <c r="BA481" s="334">
        <v>1.02</v>
      </c>
      <c r="BB481" s="334">
        <v>1.02</v>
      </c>
      <c r="BC481" s="334">
        <v>1</v>
      </c>
      <c r="BE481" s="333">
        <v>270</v>
      </c>
      <c r="BF481" s="334">
        <v>1</v>
      </c>
      <c r="BG481" s="334">
        <v>1.02</v>
      </c>
      <c r="BH481" s="334">
        <v>1.03</v>
      </c>
      <c r="BI481" s="334">
        <v>1.03</v>
      </c>
      <c r="BJ481" s="334">
        <v>1.01</v>
      </c>
      <c r="BL481" s="333">
        <v>270</v>
      </c>
      <c r="BM481" s="334">
        <v>1</v>
      </c>
      <c r="BN481" s="334">
        <v>1.02</v>
      </c>
      <c r="BO481" s="334">
        <v>1.02</v>
      </c>
      <c r="BP481" s="334">
        <v>1.02</v>
      </c>
      <c r="BQ481" s="334">
        <v>1</v>
      </c>
      <c r="BS481" s="333">
        <v>270</v>
      </c>
      <c r="BT481" s="334">
        <v>1</v>
      </c>
      <c r="BU481" s="334">
        <v>1.01</v>
      </c>
      <c r="BV481" s="334">
        <v>1.02</v>
      </c>
      <c r="BW481" s="334">
        <v>1.01</v>
      </c>
      <c r="BX481" s="334">
        <v>0.98</v>
      </c>
      <c r="BZ481" s="333">
        <v>270</v>
      </c>
      <c r="CA481" s="334">
        <v>1</v>
      </c>
      <c r="CB481" s="334">
        <v>1.01</v>
      </c>
      <c r="CC481" s="334">
        <v>1</v>
      </c>
      <c r="CD481" s="334">
        <v>0.99</v>
      </c>
      <c r="CE481" s="334">
        <v>0.96</v>
      </c>
      <c r="CG481" s="333">
        <v>270</v>
      </c>
      <c r="CH481" s="334">
        <v>1</v>
      </c>
      <c r="CI481" s="334">
        <v>1.01</v>
      </c>
      <c r="CJ481" s="334">
        <v>1</v>
      </c>
      <c r="CK481" s="334">
        <v>0.98</v>
      </c>
      <c r="CL481" s="334">
        <v>0.94</v>
      </c>
      <c r="CN481" s="333">
        <v>270</v>
      </c>
      <c r="CO481" s="334">
        <v>1</v>
      </c>
      <c r="CP481" s="334">
        <v>1.01</v>
      </c>
      <c r="CQ481" s="334">
        <v>1</v>
      </c>
      <c r="CR481" s="334">
        <v>0.98</v>
      </c>
      <c r="CS481" s="334">
        <v>0.94</v>
      </c>
    </row>
    <row r="482" spans="3:97" x14ac:dyDescent="0.25">
      <c r="C482" s="333">
        <v>20</v>
      </c>
      <c r="D482" s="334">
        <v>0.87</v>
      </c>
      <c r="E482" s="334">
        <v>0.94</v>
      </c>
      <c r="F482" s="334">
        <v>0.97</v>
      </c>
      <c r="G482" s="334">
        <v>0.99</v>
      </c>
      <c r="H482" s="334">
        <v>0.98</v>
      </c>
      <c r="I482" s="334">
        <v>0.94</v>
      </c>
      <c r="J482" s="334">
        <v>0.89</v>
      </c>
      <c r="K482" s="334">
        <v>0.82</v>
      </c>
      <c r="L482" s="334">
        <v>0.73</v>
      </c>
      <c r="M482" s="334">
        <v>0.63</v>
      </c>
      <c r="O482" s="333">
        <v>280</v>
      </c>
      <c r="P482" s="334">
        <v>1</v>
      </c>
      <c r="Q482" s="334">
        <v>1.01</v>
      </c>
      <c r="R482" s="334">
        <v>1</v>
      </c>
      <c r="S482" s="334">
        <v>0.98</v>
      </c>
      <c r="T482" s="334">
        <v>0.94</v>
      </c>
      <c r="V482" s="333">
        <v>280</v>
      </c>
      <c r="W482" s="334">
        <v>1</v>
      </c>
      <c r="X482" s="334">
        <v>1.02</v>
      </c>
      <c r="Y482" s="334">
        <v>1.01</v>
      </c>
      <c r="Z482" s="334">
        <v>0.99</v>
      </c>
      <c r="AA482" s="334">
        <v>0.96</v>
      </c>
      <c r="AC482" s="333">
        <v>280</v>
      </c>
      <c r="AD482" s="334">
        <v>1</v>
      </c>
      <c r="AE482" s="334">
        <v>1.03</v>
      </c>
      <c r="AF482" s="334">
        <v>1.04</v>
      </c>
      <c r="AG482" s="334">
        <v>1.04</v>
      </c>
      <c r="AH482" s="334">
        <v>1.02</v>
      </c>
      <c r="AJ482" s="333">
        <v>280</v>
      </c>
      <c r="AK482" s="334">
        <v>1</v>
      </c>
      <c r="AL482" s="334">
        <v>1.04</v>
      </c>
      <c r="AM482" s="334">
        <v>1.06</v>
      </c>
      <c r="AN482" s="334">
        <v>1.07</v>
      </c>
      <c r="AO482" s="334">
        <v>1.07</v>
      </c>
      <c r="AQ482" s="333">
        <v>280</v>
      </c>
      <c r="AR482" s="334">
        <v>1</v>
      </c>
      <c r="AS482" s="334">
        <v>1.04</v>
      </c>
      <c r="AT482" s="334">
        <v>1.08</v>
      </c>
      <c r="AU482" s="334">
        <v>1.1000000000000001</v>
      </c>
      <c r="AV482" s="334">
        <v>1.1100000000000001</v>
      </c>
      <c r="AX482" s="333">
        <v>280</v>
      </c>
      <c r="AY482" s="334">
        <v>1</v>
      </c>
      <c r="AZ482" s="334">
        <v>1.05</v>
      </c>
      <c r="BA482" s="334">
        <v>1.1000000000000001</v>
      </c>
      <c r="BB482" s="334">
        <v>1.1200000000000001</v>
      </c>
      <c r="BC482" s="334">
        <v>1.1299999999999999</v>
      </c>
      <c r="BE482" s="333">
        <v>280</v>
      </c>
      <c r="BF482" s="334">
        <v>1</v>
      </c>
      <c r="BG482" s="334">
        <v>1.06</v>
      </c>
      <c r="BH482" s="334">
        <v>1.1000000000000001</v>
      </c>
      <c r="BI482" s="334">
        <v>1.1200000000000001</v>
      </c>
      <c r="BJ482" s="334">
        <v>1.1299999999999999</v>
      </c>
      <c r="BL482" s="333">
        <v>280</v>
      </c>
      <c r="BM482" s="334">
        <v>1</v>
      </c>
      <c r="BN482" s="334">
        <v>1.05</v>
      </c>
      <c r="BO482" s="334">
        <v>1.08</v>
      </c>
      <c r="BP482" s="334">
        <v>1.0900000000000001</v>
      </c>
      <c r="BQ482" s="334">
        <v>1.0900000000000001</v>
      </c>
      <c r="BS482" s="333">
        <v>280</v>
      </c>
      <c r="BT482" s="334">
        <v>1</v>
      </c>
      <c r="BU482" s="334">
        <v>1.03</v>
      </c>
      <c r="BV482" s="334">
        <v>1.05</v>
      </c>
      <c r="BW482" s="334">
        <v>1.05</v>
      </c>
      <c r="BX482" s="334">
        <v>1.04</v>
      </c>
      <c r="BZ482" s="333">
        <v>280</v>
      </c>
      <c r="CA482" s="334">
        <v>1</v>
      </c>
      <c r="CB482" s="334">
        <v>1.02</v>
      </c>
      <c r="CC482" s="334">
        <v>1.02</v>
      </c>
      <c r="CD482" s="334">
        <v>1.01</v>
      </c>
      <c r="CE482" s="334">
        <v>0.99</v>
      </c>
      <c r="CG482" s="333">
        <v>280</v>
      </c>
      <c r="CH482" s="334">
        <v>1</v>
      </c>
      <c r="CI482" s="334">
        <v>1.01</v>
      </c>
      <c r="CJ482" s="334">
        <v>1.01</v>
      </c>
      <c r="CK482" s="334">
        <v>0.99</v>
      </c>
      <c r="CL482" s="334">
        <v>0.96</v>
      </c>
      <c r="CN482" s="333">
        <v>280</v>
      </c>
      <c r="CO482" s="334">
        <v>1</v>
      </c>
      <c r="CP482" s="334">
        <v>1.01</v>
      </c>
      <c r="CQ482" s="334">
        <v>1</v>
      </c>
      <c r="CR482" s="334">
        <v>0.98</v>
      </c>
      <c r="CS482" s="334">
        <v>0.94</v>
      </c>
    </row>
    <row r="483" spans="3:97" x14ac:dyDescent="0.25">
      <c r="C483" s="333">
        <v>30</v>
      </c>
      <c r="D483" s="334">
        <v>0.87</v>
      </c>
      <c r="E483" s="334">
        <v>0.93</v>
      </c>
      <c r="F483" s="334">
        <v>0.96</v>
      </c>
      <c r="G483" s="334">
        <v>0.97</v>
      </c>
      <c r="H483" s="334">
        <v>0.96</v>
      </c>
      <c r="I483" s="334">
        <v>0.93</v>
      </c>
      <c r="J483" s="334">
        <v>0.87</v>
      </c>
      <c r="K483" s="334">
        <v>0.8</v>
      </c>
      <c r="L483" s="334">
        <v>0.72</v>
      </c>
      <c r="M483" s="334">
        <v>0.62</v>
      </c>
      <c r="O483" s="333">
        <v>290</v>
      </c>
      <c r="P483" s="334">
        <v>1</v>
      </c>
      <c r="Q483" s="334">
        <v>1.01</v>
      </c>
      <c r="R483" s="334">
        <v>1</v>
      </c>
      <c r="S483" s="334">
        <v>0.98</v>
      </c>
      <c r="T483" s="334">
        <v>0.95</v>
      </c>
      <c r="V483" s="333">
        <v>290</v>
      </c>
      <c r="W483" s="334">
        <v>1</v>
      </c>
      <c r="X483" s="334">
        <v>1.02</v>
      </c>
      <c r="Y483" s="334">
        <v>1.02</v>
      </c>
      <c r="Z483" s="334">
        <v>1.01</v>
      </c>
      <c r="AA483" s="334">
        <v>0.98</v>
      </c>
      <c r="AC483" s="333">
        <v>290</v>
      </c>
      <c r="AD483" s="334">
        <v>1</v>
      </c>
      <c r="AE483" s="334">
        <v>1.04</v>
      </c>
      <c r="AF483" s="334">
        <v>1.07</v>
      </c>
      <c r="AG483" s="334">
        <v>1.07</v>
      </c>
      <c r="AH483" s="334">
        <v>1.06</v>
      </c>
      <c r="AJ483" s="333">
        <v>290</v>
      </c>
      <c r="AK483" s="334">
        <v>1</v>
      </c>
      <c r="AL483" s="334">
        <v>1.06</v>
      </c>
      <c r="AM483" s="334">
        <v>1.1000000000000001</v>
      </c>
      <c r="AN483" s="334">
        <v>1.1299999999999999</v>
      </c>
      <c r="AO483" s="334">
        <v>1.1399999999999999</v>
      </c>
      <c r="AQ483" s="333">
        <v>290</v>
      </c>
      <c r="AR483" s="334">
        <v>1</v>
      </c>
      <c r="AS483" s="334">
        <v>1.08</v>
      </c>
      <c r="AT483" s="334">
        <v>1.1399999999999999</v>
      </c>
      <c r="AU483" s="334">
        <v>1.19</v>
      </c>
      <c r="AV483" s="334">
        <v>1.21</v>
      </c>
      <c r="AX483" s="333">
        <v>290</v>
      </c>
      <c r="AY483" s="334">
        <v>1</v>
      </c>
      <c r="AZ483" s="334">
        <v>1.0900000000000001</v>
      </c>
      <c r="BA483" s="334">
        <v>1.1599999999999999</v>
      </c>
      <c r="BB483" s="334">
        <v>1.21</v>
      </c>
      <c r="BC483" s="334">
        <v>1.24</v>
      </c>
      <c r="BE483" s="333">
        <v>290</v>
      </c>
      <c r="BF483" s="334">
        <v>1</v>
      </c>
      <c r="BG483" s="334">
        <v>1.0900000000000001</v>
      </c>
      <c r="BH483" s="334">
        <v>1.1599999999999999</v>
      </c>
      <c r="BI483" s="334">
        <v>1.21</v>
      </c>
      <c r="BJ483" s="334">
        <v>1.24</v>
      </c>
      <c r="BL483" s="333">
        <v>290</v>
      </c>
      <c r="BM483" s="334">
        <v>1</v>
      </c>
      <c r="BN483" s="334">
        <v>1.08</v>
      </c>
      <c r="BO483" s="334">
        <v>1.1299999999999999</v>
      </c>
      <c r="BP483" s="334">
        <v>1.1599999999999999</v>
      </c>
      <c r="BQ483" s="334">
        <v>1.17</v>
      </c>
      <c r="BS483" s="333">
        <v>290</v>
      </c>
      <c r="BT483" s="334">
        <v>1</v>
      </c>
      <c r="BU483" s="334">
        <v>1.05</v>
      </c>
      <c r="BV483" s="334">
        <v>1.08</v>
      </c>
      <c r="BW483" s="334">
        <v>1.0900000000000001</v>
      </c>
      <c r="BX483" s="334">
        <v>1.0900000000000001</v>
      </c>
      <c r="BZ483" s="333">
        <v>290</v>
      </c>
      <c r="CA483" s="334">
        <v>1</v>
      </c>
      <c r="CB483" s="334">
        <v>1.03</v>
      </c>
      <c r="CC483" s="334">
        <v>1.04</v>
      </c>
      <c r="CD483" s="334">
        <v>1.04</v>
      </c>
      <c r="CE483" s="334">
        <v>1.02</v>
      </c>
      <c r="CG483" s="333">
        <v>290</v>
      </c>
      <c r="CH483" s="334">
        <v>1</v>
      </c>
      <c r="CI483" s="334">
        <v>1.01</v>
      </c>
      <c r="CJ483" s="334">
        <v>1.01</v>
      </c>
      <c r="CK483" s="334">
        <v>1</v>
      </c>
      <c r="CL483" s="334">
        <v>0.97</v>
      </c>
      <c r="CN483" s="333">
        <v>290</v>
      </c>
      <c r="CO483" s="334">
        <v>1</v>
      </c>
      <c r="CP483" s="334">
        <v>1.01</v>
      </c>
      <c r="CQ483" s="334">
        <v>1</v>
      </c>
      <c r="CR483" s="334">
        <v>0.98</v>
      </c>
      <c r="CS483" s="334">
        <v>0.94</v>
      </c>
    </row>
    <row r="484" spans="3:97" x14ac:dyDescent="0.25">
      <c r="C484" s="333">
        <v>40</v>
      </c>
      <c r="D484" s="334">
        <v>0.87</v>
      </c>
      <c r="E484" s="334">
        <v>0.92</v>
      </c>
      <c r="F484" s="334">
        <v>0.95</v>
      </c>
      <c r="G484" s="334">
        <v>0.95</v>
      </c>
      <c r="H484" s="334">
        <v>0.94</v>
      </c>
      <c r="I484" s="334">
        <v>0.91</v>
      </c>
      <c r="J484" s="334">
        <v>0.85</v>
      </c>
      <c r="K484" s="334">
        <v>0.78</v>
      </c>
      <c r="L484" s="334">
        <v>0.71</v>
      </c>
      <c r="M484" s="334">
        <v>0.61</v>
      </c>
      <c r="O484" s="333">
        <v>300</v>
      </c>
      <c r="P484" s="334">
        <v>1</v>
      </c>
      <c r="Q484" s="334">
        <v>1.01</v>
      </c>
      <c r="R484" s="335">
        <v>1.01</v>
      </c>
      <c r="S484" s="334">
        <v>0.98</v>
      </c>
      <c r="T484" s="334">
        <v>0.95</v>
      </c>
      <c r="V484" s="333">
        <v>300</v>
      </c>
      <c r="W484" s="334">
        <v>1</v>
      </c>
      <c r="X484" s="334">
        <v>1.03</v>
      </c>
      <c r="Y484" s="335">
        <v>1.03</v>
      </c>
      <c r="Z484" s="334">
        <v>1.02</v>
      </c>
      <c r="AA484" s="334">
        <v>1</v>
      </c>
      <c r="AC484" s="333">
        <v>300</v>
      </c>
      <c r="AD484" s="334">
        <v>1</v>
      </c>
      <c r="AE484" s="334">
        <v>1.05</v>
      </c>
      <c r="AF484" s="335">
        <v>1.0900000000000001</v>
      </c>
      <c r="AG484" s="334">
        <v>1.1000000000000001</v>
      </c>
      <c r="AH484" s="334">
        <v>1.1000000000000001</v>
      </c>
      <c r="AJ484" s="333">
        <v>300</v>
      </c>
      <c r="AK484" s="334">
        <v>1</v>
      </c>
      <c r="AL484" s="334">
        <v>1.08</v>
      </c>
      <c r="AM484" s="335">
        <v>1.1399999999999999</v>
      </c>
      <c r="AN484" s="334">
        <v>1.19</v>
      </c>
      <c r="AO484" s="334">
        <v>1.21</v>
      </c>
      <c r="AQ484" s="333">
        <v>300</v>
      </c>
      <c r="AR484" s="334">
        <v>1</v>
      </c>
      <c r="AS484" s="334">
        <v>1.1100000000000001</v>
      </c>
      <c r="AT484" s="335">
        <v>1.2</v>
      </c>
      <c r="AU484" s="334">
        <v>1.27</v>
      </c>
      <c r="AV484" s="334">
        <v>1.3</v>
      </c>
      <c r="AX484" s="333">
        <v>300</v>
      </c>
      <c r="AY484" s="334">
        <v>1</v>
      </c>
      <c r="AZ484" s="334">
        <v>1.1299999999999999</v>
      </c>
      <c r="BA484" s="335">
        <v>1.23</v>
      </c>
      <c r="BB484" s="334">
        <v>1.31</v>
      </c>
      <c r="BC484" s="334">
        <v>1.36</v>
      </c>
      <c r="BE484" s="333">
        <v>300</v>
      </c>
      <c r="BF484" s="334">
        <v>1</v>
      </c>
      <c r="BG484" s="334">
        <v>1.1200000000000001</v>
      </c>
      <c r="BH484" s="335">
        <v>1.22</v>
      </c>
      <c r="BI484" s="334">
        <v>1.3</v>
      </c>
      <c r="BJ484" s="334">
        <v>1.34</v>
      </c>
      <c r="BL484" s="333">
        <v>300</v>
      </c>
      <c r="BM484" s="334">
        <v>1</v>
      </c>
      <c r="BN484" s="334">
        <v>1.1000000000000001</v>
      </c>
      <c r="BO484" s="335">
        <v>1.17</v>
      </c>
      <c r="BP484" s="334">
        <v>1.23</v>
      </c>
      <c r="BQ484" s="334">
        <v>1.25</v>
      </c>
      <c r="BS484" s="333">
        <v>300</v>
      </c>
      <c r="BT484" s="334">
        <v>1</v>
      </c>
      <c r="BU484" s="334">
        <v>1.06</v>
      </c>
      <c r="BV484" s="335">
        <v>1.1100000000000001</v>
      </c>
      <c r="BW484" s="334">
        <v>1.1299999999999999</v>
      </c>
      <c r="BX484" s="334">
        <v>1.1399999999999999</v>
      </c>
      <c r="BZ484" s="333">
        <v>300</v>
      </c>
      <c r="CA484" s="334">
        <v>1</v>
      </c>
      <c r="CB484" s="334">
        <v>1.04</v>
      </c>
      <c r="CC484" s="335">
        <v>1.05</v>
      </c>
      <c r="CD484" s="334">
        <v>1.06</v>
      </c>
      <c r="CE484" s="334">
        <v>1.04</v>
      </c>
      <c r="CG484" s="333">
        <v>300</v>
      </c>
      <c r="CH484" s="334">
        <v>1</v>
      </c>
      <c r="CI484" s="334">
        <v>1.02</v>
      </c>
      <c r="CJ484" s="335">
        <v>1.02</v>
      </c>
      <c r="CK484" s="334">
        <v>1</v>
      </c>
      <c r="CL484" s="334">
        <v>0.97</v>
      </c>
      <c r="CN484" s="333">
        <v>300</v>
      </c>
      <c r="CO484" s="334">
        <v>1</v>
      </c>
      <c r="CP484" s="334">
        <v>1.01</v>
      </c>
      <c r="CQ484" s="335">
        <v>1</v>
      </c>
      <c r="CR484" s="334">
        <v>0.98</v>
      </c>
      <c r="CS484" s="334">
        <v>0.93</v>
      </c>
    </row>
    <row r="485" spans="3:97" x14ac:dyDescent="0.25">
      <c r="C485" s="333">
        <v>50</v>
      </c>
      <c r="D485" s="334">
        <v>0.87</v>
      </c>
      <c r="E485" s="334">
        <v>0.91</v>
      </c>
      <c r="F485" s="334">
        <v>0.93</v>
      </c>
      <c r="G485" s="334">
        <v>0.93</v>
      </c>
      <c r="H485" s="334">
        <v>0.91</v>
      </c>
      <c r="I485" s="334">
        <v>0.88</v>
      </c>
      <c r="J485" s="334">
        <v>0.83</v>
      </c>
      <c r="K485" s="334">
        <v>0.76</v>
      </c>
      <c r="L485" s="334">
        <v>0.69</v>
      </c>
      <c r="M485" s="334">
        <v>0.6</v>
      </c>
      <c r="O485" s="333">
        <v>310</v>
      </c>
      <c r="P485" s="334">
        <v>1</v>
      </c>
      <c r="Q485" s="334">
        <v>1.01</v>
      </c>
      <c r="R485" s="335">
        <v>1.01</v>
      </c>
      <c r="S485" s="334">
        <v>0.98</v>
      </c>
      <c r="T485" s="334">
        <v>0.94</v>
      </c>
      <c r="V485" s="333">
        <v>310</v>
      </c>
      <c r="W485" s="334">
        <v>1</v>
      </c>
      <c r="X485" s="334">
        <v>1.03</v>
      </c>
      <c r="Y485" s="335">
        <v>1.04</v>
      </c>
      <c r="Z485" s="334">
        <v>1.03</v>
      </c>
      <c r="AA485" s="334">
        <v>1.01</v>
      </c>
      <c r="AC485" s="333">
        <v>310</v>
      </c>
      <c r="AD485" s="334">
        <v>1</v>
      </c>
      <c r="AE485" s="334">
        <v>1.07</v>
      </c>
      <c r="AF485" s="335">
        <v>1.1100000000000001</v>
      </c>
      <c r="AG485" s="334">
        <v>1.1299999999999999</v>
      </c>
      <c r="AH485" s="334">
        <v>1.1299999999999999</v>
      </c>
      <c r="AJ485" s="333">
        <v>310</v>
      </c>
      <c r="AK485" s="334">
        <v>1</v>
      </c>
      <c r="AL485" s="334">
        <v>1.1000000000000001</v>
      </c>
      <c r="AM485" s="335">
        <v>1.18</v>
      </c>
      <c r="AN485" s="334">
        <v>1.24</v>
      </c>
      <c r="AO485" s="334">
        <v>1.27</v>
      </c>
      <c r="AQ485" s="333">
        <v>310</v>
      </c>
      <c r="AR485" s="334">
        <v>1</v>
      </c>
      <c r="AS485" s="334">
        <v>1.1299999999999999</v>
      </c>
      <c r="AT485" s="335">
        <v>1.25</v>
      </c>
      <c r="AU485" s="334">
        <v>1.33</v>
      </c>
      <c r="AV485" s="334">
        <v>1.39</v>
      </c>
      <c r="AX485" s="333">
        <v>310</v>
      </c>
      <c r="AY485" s="334">
        <v>1</v>
      </c>
      <c r="AZ485" s="334">
        <v>1.1599999999999999</v>
      </c>
      <c r="BA485" s="335">
        <v>1.29</v>
      </c>
      <c r="BB485" s="334">
        <v>1.39</v>
      </c>
      <c r="BC485" s="334">
        <v>1.47</v>
      </c>
      <c r="BE485" s="333">
        <v>310</v>
      </c>
      <c r="BF485" s="334">
        <v>1</v>
      </c>
      <c r="BG485" s="334">
        <v>1.1499999999999999</v>
      </c>
      <c r="BH485" s="335">
        <v>1.28</v>
      </c>
      <c r="BI485" s="334">
        <v>1.37</v>
      </c>
      <c r="BJ485" s="334">
        <v>1.44</v>
      </c>
      <c r="BL485" s="333">
        <v>310</v>
      </c>
      <c r="BM485" s="334">
        <v>1</v>
      </c>
      <c r="BN485" s="334">
        <v>1.1200000000000001</v>
      </c>
      <c r="BO485" s="335">
        <v>1.21</v>
      </c>
      <c r="BP485" s="334">
        <v>1.28</v>
      </c>
      <c r="BQ485" s="334">
        <v>1.32</v>
      </c>
      <c r="BS485" s="333">
        <v>310</v>
      </c>
      <c r="BT485" s="334">
        <v>1</v>
      </c>
      <c r="BU485" s="334">
        <v>1.08</v>
      </c>
      <c r="BV485" s="335">
        <v>1.1299999999999999</v>
      </c>
      <c r="BW485" s="334">
        <v>1.17</v>
      </c>
      <c r="BX485" s="334">
        <v>1.17</v>
      </c>
      <c r="BZ485" s="333">
        <v>310</v>
      </c>
      <c r="CA485" s="334">
        <v>1</v>
      </c>
      <c r="CB485" s="334">
        <v>1.04</v>
      </c>
      <c r="CC485" s="335">
        <v>1.07</v>
      </c>
      <c r="CD485" s="334">
        <v>1.07</v>
      </c>
      <c r="CE485" s="334">
        <v>1.05</v>
      </c>
      <c r="CG485" s="333">
        <v>310</v>
      </c>
      <c r="CH485" s="334">
        <v>1</v>
      </c>
      <c r="CI485" s="334">
        <v>1.02</v>
      </c>
      <c r="CJ485" s="335">
        <v>1.02</v>
      </c>
      <c r="CK485" s="334">
        <v>1</v>
      </c>
      <c r="CL485" s="334">
        <v>0.97</v>
      </c>
      <c r="CN485" s="333">
        <v>310</v>
      </c>
      <c r="CO485" s="334">
        <v>1</v>
      </c>
      <c r="CP485" s="334">
        <v>1.01</v>
      </c>
      <c r="CQ485" s="335">
        <v>1</v>
      </c>
      <c r="CR485" s="334">
        <v>0.97</v>
      </c>
      <c r="CS485" s="334">
        <v>0.93</v>
      </c>
    </row>
    <row r="486" spans="3:97" x14ac:dyDescent="0.25">
      <c r="C486" s="333">
        <v>60</v>
      </c>
      <c r="D486" s="334">
        <v>0.87</v>
      </c>
      <c r="E486" s="334">
        <v>0.91</v>
      </c>
      <c r="F486" s="334">
        <v>0.92</v>
      </c>
      <c r="G486" s="334">
        <v>0.91</v>
      </c>
      <c r="H486" s="334">
        <v>0.89</v>
      </c>
      <c r="I486" s="334">
        <v>0.85</v>
      </c>
      <c r="J486" s="334">
        <v>0.79</v>
      </c>
      <c r="K486" s="334">
        <v>0.74</v>
      </c>
      <c r="L486" s="334">
        <v>0.66</v>
      </c>
      <c r="M486" s="334">
        <v>0.57999999999999996</v>
      </c>
      <c r="O486" s="333">
        <v>320</v>
      </c>
      <c r="P486" s="334">
        <v>1</v>
      </c>
      <c r="Q486" s="334">
        <v>1.01</v>
      </c>
      <c r="R486" s="335">
        <v>1.01</v>
      </c>
      <c r="S486" s="334">
        <v>0.98</v>
      </c>
      <c r="T486" s="334">
        <v>0.93</v>
      </c>
      <c r="V486" s="333">
        <v>320</v>
      </c>
      <c r="W486" s="334">
        <v>1</v>
      </c>
      <c r="X486" s="334">
        <v>1.04</v>
      </c>
      <c r="Y486" s="335">
        <v>1.05</v>
      </c>
      <c r="Z486" s="334">
        <v>1.05</v>
      </c>
      <c r="AA486" s="334">
        <v>1.02</v>
      </c>
      <c r="AC486" s="333">
        <v>320</v>
      </c>
      <c r="AD486" s="334">
        <v>1</v>
      </c>
      <c r="AE486" s="334">
        <v>1.08</v>
      </c>
      <c r="AF486" s="335">
        <v>1.1299999999999999</v>
      </c>
      <c r="AG486" s="334">
        <v>1.1599999999999999</v>
      </c>
      <c r="AH486" s="334">
        <v>1.1599999999999999</v>
      </c>
      <c r="AJ486" s="333">
        <v>320</v>
      </c>
      <c r="AK486" s="334">
        <v>1</v>
      </c>
      <c r="AL486" s="334">
        <v>1.1200000000000001</v>
      </c>
      <c r="AM486" s="335">
        <v>1.22</v>
      </c>
      <c r="AN486" s="334">
        <v>1.28</v>
      </c>
      <c r="AO486" s="334">
        <v>1.31</v>
      </c>
      <c r="AQ486" s="333">
        <v>320</v>
      </c>
      <c r="AR486" s="334">
        <v>1</v>
      </c>
      <c r="AS486" s="334">
        <v>1.1599999999999999</v>
      </c>
      <c r="AT486" s="335">
        <v>1.29</v>
      </c>
      <c r="AU486" s="334">
        <v>1.4</v>
      </c>
      <c r="AV486" s="334">
        <v>1.46</v>
      </c>
      <c r="AX486" s="333">
        <v>320</v>
      </c>
      <c r="AY486" s="334">
        <v>1</v>
      </c>
      <c r="AZ486" s="334">
        <v>1.18</v>
      </c>
      <c r="BA486" s="335">
        <v>1.34</v>
      </c>
      <c r="BB486" s="334">
        <v>1.47</v>
      </c>
      <c r="BC486" s="334">
        <v>1.56</v>
      </c>
      <c r="BE486" s="333">
        <v>320</v>
      </c>
      <c r="BF486" s="334">
        <v>1</v>
      </c>
      <c r="BG486" s="334">
        <v>1.18</v>
      </c>
      <c r="BH486" s="335">
        <v>1.33</v>
      </c>
      <c r="BI486" s="334">
        <v>1.44</v>
      </c>
      <c r="BJ486" s="334">
        <v>1.52</v>
      </c>
      <c r="BL486" s="333">
        <v>320</v>
      </c>
      <c r="BM486" s="334">
        <v>1</v>
      </c>
      <c r="BN486" s="334">
        <v>1.1399999999999999</v>
      </c>
      <c r="BO486" s="335">
        <v>1.25</v>
      </c>
      <c r="BP486" s="334">
        <v>1.33</v>
      </c>
      <c r="BQ486" s="334">
        <v>1.38</v>
      </c>
      <c r="BS486" s="333">
        <v>320</v>
      </c>
      <c r="BT486" s="334">
        <v>1</v>
      </c>
      <c r="BU486" s="334">
        <v>1.0900000000000001</v>
      </c>
      <c r="BV486" s="335">
        <v>1.1599999999999999</v>
      </c>
      <c r="BW486" s="334">
        <v>1.2</v>
      </c>
      <c r="BX486" s="334">
        <v>1.21</v>
      </c>
      <c r="BZ486" s="333">
        <v>320</v>
      </c>
      <c r="CA486" s="334">
        <v>1</v>
      </c>
      <c r="CB486" s="334">
        <v>1.05</v>
      </c>
      <c r="CC486" s="335">
        <v>1.08</v>
      </c>
      <c r="CD486" s="334">
        <v>1.08</v>
      </c>
      <c r="CE486" s="334">
        <v>1.07</v>
      </c>
      <c r="CG486" s="333">
        <v>320</v>
      </c>
      <c r="CH486" s="334">
        <v>1</v>
      </c>
      <c r="CI486" s="334">
        <v>1.02</v>
      </c>
      <c r="CJ486" s="335">
        <v>1.02</v>
      </c>
      <c r="CK486" s="334">
        <v>1</v>
      </c>
      <c r="CL486" s="334">
        <v>0.97</v>
      </c>
      <c r="CN486" s="333">
        <v>320</v>
      </c>
      <c r="CO486" s="334">
        <v>1</v>
      </c>
      <c r="CP486" s="334">
        <v>1.01</v>
      </c>
      <c r="CQ486" s="335">
        <v>1</v>
      </c>
      <c r="CR486" s="334">
        <v>0.96</v>
      </c>
      <c r="CS486" s="334">
        <v>0.92</v>
      </c>
    </row>
    <row r="487" spans="3:97" x14ac:dyDescent="0.25">
      <c r="C487" s="333">
        <v>70</v>
      </c>
      <c r="D487" s="334">
        <v>0.87</v>
      </c>
      <c r="E487" s="334">
        <v>0.89</v>
      </c>
      <c r="F487" s="334">
        <v>0.9</v>
      </c>
      <c r="G487" s="334">
        <v>0.88</v>
      </c>
      <c r="H487" s="334">
        <v>0.85</v>
      </c>
      <c r="I487" s="334">
        <v>0.81</v>
      </c>
      <c r="J487" s="334">
        <v>0.76</v>
      </c>
      <c r="K487" s="334">
        <v>0.7</v>
      </c>
      <c r="L487" s="334">
        <v>0.63</v>
      </c>
      <c r="M487" s="334">
        <v>0.56000000000000005</v>
      </c>
      <c r="O487" s="333">
        <v>330</v>
      </c>
      <c r="P487" s="334">
        <v>1</v>
      </c>
      <c r="Q487" s="334">
        <v>1.01</v>
      </c>
      <c r="R487" s="335">
        <v>1.01</v>
      </c>
      <c r="S487" s="334">
        <v>0.98</v>
      </c>
      <c r="T487" s="334">
        <v>0.93</v>
      </c>
      <c r="V487" s="333">
        <v>330</v>
      </c>
      <c r="W487" s="334">
        <v>1</v>
      </c>
      <c r="X487" s="334">
        <v>1.04</v>
      </c>
      <c r="Y487" s="335">
        <v>1.06</v>
      </c>
      <c r="Z487" s="334">
        <v>1.05</v>
      </c>
      <c r="AA487" s="334">
        <v>1.02</v>
      </c>
      <c r="AC487" s="333">
        <v>330</v>
      </c>
      <c r="AD487" s="334">
        <v>1</v>
      </c>
      <c r="AE487" s="334">
        <v>1.0900000000000001</v>
      </c>
      <c r="AF487" s="335">
        <v>1.1399999999999999</v>
      </c>
      <c r="AG487" s="334">
        <v>1.18</v>
      </c>
      <c r="AH487" s="334">
        <v>1.18</v>
      </c>
      <c r="AJ487" s="333">
        <v>330</v>
      </c>
      <c r="AK487" s="334">
        <v>1</v>
      </c>
      <c r="AL487" s="334">
        <v>1.1299999999999999</v>
      </c>
      <c r="AM487" s="335">
        <v>1.24</v>
      </c>
      <c r="AN487" s="334">
        <v>1.31</v>
      </c>
      <c r="AO487" s="334">
        <v>1.36</v>
      </c>
      <c r="AQ487" s="333">
        <v>330</v>
      </c>
      <c r="AR487" s="334">
        <v>1</v>
      </c>
      <c r="AS487" s="334">
        <v>1.18</v>
      </c>
      <c r="AT487" s="335">
        <v>1.33</v>
      </c>
      <c r="AU487" s="334">
        <v>1.45</v>
      </c>
      <c r="AV487" s="334">
        <v>1.54</v>
      </c>
      <c r="AX487" s="333">
        <v>330</v>
      </c>
      <c r="AY487" s="334">
        <v>1</v>
      </c>
      <c r="AZ487" s="334">
        <v>1.21</v>
      </c>
      <c r="BA487" s="335">
        <v>1.39</v>
      </c>
      <c r="BB487" s="334">
        <v>1.54</v>
      </c>
      <c r="BC487" s="334">
        <v>1.65</v>
      </c>
      <c r="BE487" s="333">
        <v>330</v>
      </c>
      <c r="BF487" s="334">
        <v>1</v>
      </c>
      <c r="BG487" s="334">
        <v>1.2</v>
      </c>
      <c r="BH487" s="335">
        <v>1.37</v>
      </c>
      <c r="BI487" s="334">
        <v>1.5</v>
      </c>
      <c r="BJ487" s="334">
        <v>1.6</v>
      </c>
      <c r="BL487" s="333">
        <v>330</v>
      </c>
      <c r="BM487" s="334">
        <v>1</v>
      </c>
      <c r="BN487" s="334">
        <v>1.1499999999999999</v>
      </c>
      <c r="BO487" s="335">
        <v>1.28</v>
      </c>
      <c r="BP487" s="334">
        <v>1.38</v>
      </c>
      <c r="BQ487" s="334">
        <v>1.44</v>
      </c>
      <c r="BS487" s="333">
        <v>330</v>
      </c>
      <c r="BT487" s="334">
        <v>1</v>
      </c>
      <c r="BU487" s="334">
        <v>1.1000000000000001</v>
      </c>
      <c r="BV487" s="335">
        <v>1.17</v>
      </c>
      <c r="BW487" s="334">
        <v>1.21</v>
      </c>
      <c r="BX487" s="334">
        <v>1.23</v>
      </c>
      <c r="BZ487" s="333">
        <v>330</v>
      </c>
      <c r="CA487" s="334">
        <v>1</v>
      </c>
      <c r="CB487" s="334">
        <v>1.06</v>
      </c>
      <c r="CC487" s="335">
        <v>1.0900000000000001</v>
      </c>
      <c r="CD487" s="334">
        <v>1.0900000000000001</v>
      </c>
      <c r="CE487" s="334">
        <v>1.07</v>
      </c>
      <c r="CG487" s="333">
        <v>330</v>
      </c>
      <c r="CH487" s="334">
        <v>1</v>
      </c>
      <c r="CI487" s="334">
        <v>1.02</v>
      </c>
      <c r="CJ487" s="335">
        <v>1.02</v>
      </c>
      <c r="CK487" s="334">
        <v>1</v>
      </c>
      <c r="CL487" s="334">
        <v>0.96</v>
      </c>
      <c r="CN487" s="333">
        <v>330</v>
      </c>
      <c r="CO487" s="334">
        <v>1</v>
      </c>
      <c r="CP487" s="334">
        <v>1.01</v>
      </c>
      <c r="CQ487" s="335">
        <v>0.99</v>
      </c>
      <c r="CR487" s="334">
        <v>0.96</v>
      </c>
      <c r="CS487" s="334">
        <v>0.9</v>
      </c>
    </row>
    <row r="488" spans="3:97" x14ac:dyDescent="0.25">
      <c r="C488" s="333">
        <v>80</v>
      </c>
      <c r="D488" s="334">
        <v>0.87</v>
      </c>
      <c r="E488" s="334">
        <v>0.88</v>
      </c>
      <c r="F488" s="334">
        <v>0.87</v>
      </c>
      <c r="G488" s="334">
        <v>0.85</v>
      </c>
      <c r="H488" s="334">
        <v>0.82</v>
      </c>
      <c r="I488" s="334">
        <v>0.77</v>
      </c>
      <c r="J488" s="334">
        <v>0.73</v>
      </c>
      <c r="K488" s="334">
        <v>0.67</v>
      </c>
      <c r="L488" s="334">
        <v>0.6</v>
      </c>
      <c r="M488" s="334">
        <v>0.53</v>
      </c>
      <c r="O488" s="333">
        <v>340</v>
      </c>
      <c r="P488" s="334">
        <v>1</v>
      </c>
      <c r="Q488" s="334">
        <v>1.01</v>
      </c>
      <c r="R488" s="335">
        <v>1</v>
      </c>
      <c r="S488" s="334">
        <v>0.97</v>
      </c>
      <c r="T488" s="334">
        <v>0.92</v>
      </c>
      <c r="V488" s="333">
        <v>340</v>
      </c>
      <c r="W488" s="334">
        <v>1</v>
      </c>
      <c r="X488" s="334">
        <v>1.04</v>
      </c>
      <c r="Y488" s="335">
        <v>1.06</v>
      </c>
      <c r="Z488" s="334">
        <v>1.05</v>
      </c>
      <c r="AA488" s="334">
        <v>1.02</v>
      </c>
      <c r="AC488" s="333">
        <v>340</v>
      </c>
      <c r="AD488" s="334">
        <v>1</v>
      </c>
      <c r="AE488" s="334">
        <v>1.0900000000000001</v>
      </c>
      <c r="AF488" s="335">
        <v>1.1499999999999999</v>
      </c>
      <c r="AG488" s="334">
        <v>1.19</v>
      </c>
      <c r="AH488" s="334">
        <v>1.2</v>
      </c>
      <c r="AJ488" s="333">
        <v>340</v>
      </c>
      <c r="AK488" s="334">
        <v>1</v>
      </c>
      <c r="AL488" s="334">
        <v>1.1399999999999999</v>
      </c>
      <c r="AM488" s="335">
        <v>1.25</v>
      </c>
      <c r="AN488" s="334">
        <v>1.34</v>
      </c>
      <c r="AO488" s="334">
        <v>1.39</v>
      </c>
      <c r="AQ488" s="333">
        <v>340</v>
      </c>
      <c r="AR488" s="334">
        <v>1</v>
      </c>
      <c r="AS488" s="334">
        <v>1.2</v>
      </c>
      <c r="AT488" s="335">
        <v>1.36</v>
      </c>
      <c r="AU488" s="334">
        <v>1.49</v>
      </c>
      <c r="AV488" s="334">
        <v>1.59</v>
      </c>
      <c r="AX488" s="333">
        <v>340</v>
      </c>
      <c r="AY488" s="334">
        <v>1</v>
      </c>
      <c r="AZ488" s="334">
        <v>1.22</v>
      </c>
      <c r="BA488" s="335">
        <v>1.43</v>
      </c>
      <c r="BB488" s="334">
        <v>1.59</v>
      </c>
      <c r="BC488" s="334">
        <v>1.71</v>
      </c>
      <c r="BE488" s="333">
        <v>340</v>
      </c>
      <c r="BF488" s="334">
        <v>1</v>
      </c>
      <c r="BG488" s="334">
        <v>1.22</v>
      </c>
      <c r="BH488" s="335">
        <v>1.4</v>
      </c>
      <c r="BI488" s="334">
        <v>1.55</v>
      </c>
      <c r="BJ488" s="334">
        <v>1.65</v>
      </c>
      <c r="BL488" s="333">
        <v>340</v>
      </c>
      <c r="BM488" s="334">
        <v>1</v>
      </c>
      <c r="BN488" s="334">
        <v>1.17</v>
      </c>
      <c r="BO488" s="335">
        <v>1.3</v>
      </c>
      <c r="BP488" s="334">
        <v>1.41</v>
      </c>
      <c r="BQ488" s="334">
        <v>1.47</v>
      </c>
      <c r="BS488" s="333">
        <v>340</v>
      </c>
      <c r="BT488" s="334">
        <v>1</v>
      </c>
      <c r="BU488" s="334">
        <v>1.1000000000000001</v>
      </c>
      <c r="BV488" s="335">
        <v>1.18</v>
      </c>
      <c r="BW488" s="334">
        <v>1.23</v>
      </c>
      <c r="BX488" s="334">
        <v>1.25</v>
      </c>
      <c r="BZ488" s="333">
        <v>340</v>
      </c>
      <c r="CA488" s="334">
        <v>1</v>
      </c>
      <c r="CB488" s="334">
        <v>1.06</v>
      </c>
      <c r="CC488" s="335">
        <v>1.0900000000000001</v>
      </c>
      <c r="CD488" s="334">
        <v>1.1000000000000001</v>
      </c>
      <c r="CE488" s="334">
        <v>1.08</v>
      </c>
      <c r="CG488" s="333">
        <v>340</v>
      </c>
      <c r="CH488" s="334">
        <v>1</v>
      </c>
      <c r="CI488" s="334">
        <v>1.02</v>
      </c>
      <c r="CJ488" s="335">
        <v>1.02</v>
      </c>
      <c r="CK488" s="334">
        <v>1</v>
      </c>
      <c r="CL488" s="334">
        <v>0.95</v>
      </c>
      <c r="CN488" s="333">
        <v>340</v>
      </c>
      <c r="CO488" s="334">
        <v>1</v>
      </c>
      <c r="CP488" s="334">
        <v>1.01</v>
      </c>
      <c r="CQ488" s="335">
        <v>0.99</v>
      </c>
      <c r="CR488" s="334">
        <v>0.95</v>
      </c>
      <c r="CS488" s="334">
        <v>0.89</v>
      </c>
    </row>
    <row r="489" spans="3:97" x14ac:dyDescent="0.25">
      <c r="C489" s="333">
        <v>90</v>
      </c>
      <c r="D489" s="334">
        <v>0.87</v>
      </c>
      <c r="E489" s="334">
        <v>0.87</v>
      </c>
      <c r="F489" s="334">
        <v>0.85</v>
      </c>
      <c r="G489" s="334">
        <v>0.82</v>
      </c>
      <c r="H489" s="334">
        <v>0.78</v>
      </c>
      <c r="I489" s="334">
        <v>0.74</v>
      </c>
      <c r="J489" s="334">
        <v>0.69</v>
      </c>
      <c r="K489" s="334">
        <v>0.63</v>
      </c>
      <c r="L489" s="334">
        <v>0.56999999999999995</v>
      </c>
      <c r="M489" s="334">
        <v>0.5</v>
      </c>
      <c r="O489" s="333">
        <v>350</v>
      </c>
      <c r="P489" s="334">
        <v>1</v>
      </c>
      <c r="Q489" s="334">
        <v>1.01</v>
      </c>
      <c r="R489" s="335">
        <v>1</v>
      </c>
      <c r="S489" s="334">
        <v>0.97</v>
      </c>
      <c r="T489" s="334">
        <v>0.91</v>
      </c>
      <c r="V489" s="333">
        <v>350</v>
      </c>
      <c r="W489" s="334">
        <v>1</v>
      </c>
      <c r="X489" s="334">
        <v>1.04</v>
      </c>
      <c r="Y489" s="335">
        <v>1.06</v>
      </c>
      <c r="Z489" s="334">
        <v>1.05</v>
      </c>
      <c r="AA489" s="334">
        <v>1.02</v>
      </c>
      <c r="AC489" s="333">
        <v>350</v>
      </c>
      <c r="AD489" s="334">
        <v>1</v>
      </c>
      <c r="AE489" s="334">
        <v>1.0900000000000001</v>
      </c>
      <c r="AF489" s="335">
        <v>1.1599999999999999</v>
      </c>
      <c r="AG489" s="334">
        <v>1.2</v>
      </c>
      <c r="AH489" s="334">
        <v>1.2</v>
      </c>
      <c r="AJ489" s="333">
        <v>350</v>
      </c>
      <c r="AK489" s="334">
        <v>1</v>
      </c>
      <c r="AL489" s="334">
        <v>1.1399999999999999</v>
      </c>
      <c r="AM489" s="335">
        <v>1.27</v>
      </c>
      <c r="AN489" s="334">
        <v>1.36</v>
      </c>
      <c r="AO489" s="334">
        <v>1.41</v>
      </c>
      <c r="AQ489" s="333">
        <v>350</v>
      </c>
      <c r="AR489" s="334">
        <v>1</v>
      </c>
      <c r="AS489" s="334">
        <v>1.2</v>
      </c>
      <c r="AT489" s="335">
        <v>1.38</v>
      </c>
      <c r="AU489" s="334">
        <v>1.52</v>
      </c>
      <c r="AV489" s="334">
        <v>1.62</v>
      </c>
      <c r="AX489" s="333">
        <v>350</v>
      </c>
      <c r="AY489" s="334">
        <v>1</v>
      </c>
      <c r="AZ489" s="334">
        <v>1.23</v>
      </c>
      <c r="BA489" s="335">
        <v>1.45</v>
      </c>
      <c r="BB489" s="334">
        <v>1.62</v>
      </c>
      <c r="BC489" s="334">
        <v>1.74</v>
      </c>
      <c r="BE489" s="333">
        <v>350</v>
      </c>
      <c r="BF489" s="334">
        <v>1</v>
      </c>
      <c r="BG489" s="334">
        <v>1.22</v>
      </c>
      <c r="BH489" s="335">
        <v>1.42</v>
      </c>
      <c r="BI489" s="334">
        <v>1.57</v>
      </c>
      <c r="BJ489" s="334">
        <v>1.69</v>
      </c>
      <c r="BL489" s="333">
        <v>350</v>
      </c>
      <c r="BM489" s="334">
        <v>1</v>
      </c>
      <c r="BN489" s="334">
        <v>1.17</v>
      </c>
      <c r="BO489" s="335">
        <v>1.32</v>
      </c>
      <c r="BP489" s="334">
        <v>1.42</v>
      </c>
      <c r="BQ489" s="334">
        <v>1.5</v>
      </c>
      <c r="BS489" s="333">
        <v>350</v>
      </c>
      <c r="BT489" s="334">
        <v>1</v>
      </c>
      <c r="BU489" s="334">
        <v>1.1000000000000001</v>
      </c>
      <c r="BV489" s="335">
        <v>1.18</v>
      </c>
      <c r="BW489" s="334">
        <v>1.24</v>
      </c>
      <c r="BX489" s="334">
        <v>1.26</v>
      </c>
      <c r="BZ489" s="333">
        <v>350</v>
      </c>
      <c r="CA489" s="334">
        <v>1</v>
      </c>
      <c r="CB489" s="334">
        <v>1.06</v>
      </c>
      <c r="CC489" s="335">
        <v>1.0900000000000001</v>
      </c>
      <c r="CD489" s="334">
        <v>1.1000000000000001</v>
      </c>
      <c r="CE489" s="334">
        <v>1.08</v>
      </c>
      <c r="CG489" s="333">
        <v>350</v>
      </c>
      <c r="CH489" s="334">
        <v>1</v>
      </c>
      <c r="CI489" s="334">
        <v>1.02</v>
      </c>
      <c r="CJ489" s="335">
        <v>1.02</v>
      </c>
      <c r="CK489" s="334">
        <v>0.99</v>
      </c>
      <c r="CL489" s="334">
        <v>0.94</v>
      </c>
      <c r="CN489" s="333">
        <v>350</v>
      </c>
      <c r="CO489" s="334">
        <v>1</v>
      </c>
      <c r="CP489" s="334">
        <v>1</v>
      </c>
      <c r="CQ489" s="335">
        <v>0.99</v>
      </c>
      <c r="CR489" s="334">
        <v>0.94</v>
      </c>
      <c r="CS489" s="334">
        <v>0.88</v>
      </c>
    </row>
    <row r="490" spans="3:97" x14ac:dyDescent="0.25">
      <c r="C490" s="333">
        <v>100</v>
      </c>
      <c r="D490" s="334">
        <v>0.87</v>
      </c>
      <c r="E490" s="334">
        <v>0.86</v>
      </c>
      <c r="F490" s="334">
        <v>0.83</v>
      </c>
      <c r="G490" s="334">
        <v>0.79</v>
      </c>
      <c r="H490" s="334">
        <v>0.75</v>
      </c>
      <c r="I490" s="334">
        <v>0.7</v>
      </c>
      <c r="J490" s="334">
        <v>0.64</v>
      </c>
      <c r="K490" s="334">
        <v>0.59</v>
      </c>
      <c r="L490" s="334">
        <v>0.53</v>
      </c>
      <c r="M490" s="334">
        <v>0.47</v>
      </c>
      <c r="O490" s="333">
        <v>0</v>
      </c>
      <c r="P490" s="334">
        <v>1</v>
      </c>
      <c r="Q490" s="334">
        <v>1.01</v>
      </c>
      <c r="R490" s="335">
        <v>1</v>
      </c>
      <c r="S490" s="334">
        <v>0.96</v>
      </c>
      <c r="T490" s="334">
        <v>0.9</v>
      </c>
      <c r="V490" s="333">
        <v>0</v>
      </c>
      <c r="W490" s="334">
        <v>1</v>
      </c>
      <c r="X490" s="334">
        <v>1.05</v>
      </c>
      <c r="Y490" s="335">
        <v>1.06</v>
      </c>
      <c r="Z490" s="334">
        <v>1.05</v>
      </c>
      <c r="AA490" s="334">
        <v>1.02</v>
      </c>
      <c r="AC490" s="333">
        <v>0</v>
      </c>
      <c r="AD490" s="334">
        <v>1</v>
      </c>
      <c r="AE490" s="334">
        <v>1.0900000000000001</v>
      </c>
      <c r="AF490" s="335">
        <v>1.1599999999999999</v>
      </c>
      <c r="AG490" s="334">
        <v>1.2</v>
      </c>
      <c r="AH490" s="334">
        <v>1.2</v>
      </c>
      <c r="AJ490" s="333">
        <v>0</v>
      </c>
      <c r="AK490" s="334">
        <v>1</v>
      </c>
      <c r="AL490" s="334">
        <v>1.1499999999999999</v>
      </c>
      <c r="AM490" s="335">
        <v>1.27</v>
      </c>
      <c r="AN490" s="334">
        <v>1.36</v>
      </c>
      <c r="AO490" s="334">
        <v>1.42</v>
      </c>
      <c r="AQ490" s="333">
        <v>0</v>
      </c>
      <c r="AR490" s="334">
        <v>1</v>
      </c>
      <c r="AS490" s="334">
        <v>1.21</v>
      </c>
      <c r="AT490" s="335">
        <v>1.38</v>
      </c>
      <c r="AU490" s="334">
        <v>1.52</v>
      </c>
      <c r="AV490" s="334">
        <v>1.63</v>
      </c>
      <c r="AX490" s="333">
        <v>0</v>
      </c>
      <c r="AY490" s="334">
        <v>1</v>
      </c>
      <c r="AZ490" s="334">
        <v>1.23</v>
      </c>
      <c r="BA490" s="335">
        <v>1.45</v>
      </c>
      <c r="BB490" s="334">
        <v>1.63</v>
      </c>
      <c r="BC490" s="334">
        <v>1.76</v>
      </c>
      <c r="BE490" s="333">
        <v>0</v>
      </c>
      <c r="BF490" s="334">
        <v>1</v>
      </c>
      <c r="BG490" s="334">
        <v>1.23</v>
      </c>
      <c r="BH490" s="335">
        <v>1.42</v>
      </c>
      <c r="BI490" s="334">
        <v>1.58</v>
      </c>
      <c r="BJ490" s="334">
        <v>1.7</v>
      </c>
      <c r="BL490" s="333">
        <v>0</v>
      </c>
      <c r="BM490" s="334">
        <v>1</v>
      </c>
      <c r="BN490" s="334">
        <v>1.17</v>
      </c>
      <c r="BO490" s="335">
        <v>1.32</v>
      </c>
      <c r="BP490" s="334">
        <v>1.43</v>
      </c>
      <c r="BQ490" s="334">
        <v>1.5</v>
      </c>
      <c r="BS490" s="333">
        <v>0</v>
      </c>
      <c r="BT490" s="334">
        <v>1</v>
      </c>
      <c r="BU490" s="334">
        <v>1.1100000000000001</v>
      </c>
      <c r="BV490" s="335">
        <v>1.19</v>
      </c>
      <c r="BW490" s="334">
        <v>1.24</v>
      </c>
      <c r="BX490" s="334">
        <v>1.26</v>
      </c>
      <c r="BZ490" s="333">
        <v>0</v>
      </c>
      <c r="CA490" s="334">
        <v>1</v>
      </c>
      <c r="CB490" s="334">
        <v>1.06</v>
      </c>
      <c r="CC490" s="335">
        <v>1.0900000000000001</v>
      </c>
      <c r="CD490" s="334">
        <v>1.1000000000000001</v>
      </c>
      <c r="CE490" s="334">
        <v>1.07</v>
      </c>
      <c r="CG490" s="333">
        <v>0</v>
      </c>
      <c r="CH490" s="334">
        <v>1</v>
      </c>
      <c r="CI490" s="334">
        <v>1.02</v>
      </c>
      <c r="CJ490" s="335">
        <v>1.01</v>
      </c>
      <c r="CK490" s="334">
        <v>0.99</v>
      </c>
      <c r="CL490" s="334">
        <v>0.94</v>
      </c>
      <c r="CN490" s="333">
        <v>0</v>
      </c>
      <c r="CO490" s="334">
        <v>1</v>
      </c>
      <c r="CP490" s="334">
        <v>1</v>
      </c>
      <c r="CQ490" s="335">
        <v>0.98</v>
      </c>
      <c r="CR490" s="334">
        <v>0.94</v>
      </c>
      <c r="CS490" s="334">
        <v>0.88</v>
      </c>
    </row>
    <row r="491" spans="3:97" x14ac:dyDescent="0.25">
      <c r="C491" s="333">
        <v>110</v>
      </c>
      <c r="D491" s="334">
        <v>0.87</v>
      </c>
      <c r="E491" s="334">
        <v>0.85</v>
      </c>
      <c r="F491" s="334">
        <v>0.81</v>
      </c>
      <c r="G491" s="334">
        <v>0.76</v>
      </c>
      <c r="H491" s="334">
        <v>0.71</v>
      </c>
      <c r="I491" s="334">
        <v>0.65</v>
      </c>
      <c r="J491" s="334">
        <v>0.6</v>
      </c>
      <c r="K491" s="334">
        <v>0.54</v>
      </c>
      <c r="L491" s="334">
        <v>0.49</v>
      </c>
      <c r="M491" s="334">
        <v>0.44</v>
      </c>
      <c r="O491" s="333">
        <v>10</v>
      </c>
      <c r="P491" s="334">
        <v>1</v>
      </c>
      <c r="Q491" s="334">
        <v>1.01</v>
      </c>
      <c r="R491" s="335">
        <v>1</v>
      </c>
      <c r="S491" s="334">
        <v>0.96</v>
      </c>
      <c r="T491" s="334">
        <v>0.9</v>
      </c>
      <c r="V491" s="333">
        <v>10</v>
      </c>
      <c r="W491" s="334">
        <v>1</v>
      </c>
      <c r="X491" s="334">
        <v>1.04</v>
      </c>
      <c r="Y491" s="335">
        <v>1.06</v>
      </c>
      <c r="Z491" s="334">
        <v>1.05</v>
      </c>
      <c r="AA491" s="334">
        <v>1.02</v>
      </c>
      <c r="AC491" s="333">
        <v>10</v>
      </c>
      <c r="AD491" s="334">
        <v>1</v>
      </c>
      <c r="AE491" s="334">
        <v>1.0900000000000001</v>
      </c>
      <c r="AF491" s="335">
        <v>1.1599999999999999</v>
      </c>
      <c r="AG491" s="334">
        <v>1.19</v>
      </c>
      <c r="AH491" s="334">
        <v>1.2</v>
      </c>
      <c r="AJ491" s="333">
        <v>10</v>
      </c>
      <c r="AK491" s="334">
        <v>1</v>
      </c>
      <c r="AL491" s="334">
        <v>1.1399999999999999</v>
      </c>
      <c r="AM491" s="335">
        <v>1.26</v>
      </c>
      <c r="AN491" s="334">
        <v>1.35</v>
      </c>
      <c r="AO491" s="334">
        <v>1.41</v>
      </c>
      <c r="AQ491" s="333">
        <v>10</v>
      </c>
      <c r="AR491" s="334">
        <v>1</v>
      </c>
      <c r="AS491" s="334">
        <v>1.2</v>
      </c>
      <c r="AT491" s="335">
        <v>1.38</v>
      </c>
      <c r="AU491" s="334">
        <v>1.51</v>
      </c>
      <c r="AV491" s="334">
        <v>1.61</v>
      </c>
      <c r="AX491" s="333">
        <v>10</v>
      </c>
      <c r="AY491" s="334">
        <v>1</v>
      </c>
      <c r="AZ491" s="334">
        <v>1.23</v>
      </c>
      <c r="BA491" s="335">
        <v>1.45</v>
      </c>
      <c r="BB491" s="334">
        <v>1.62</v>
      </c>
      <c r="BC491" s="334">
        <v>1.74</v>
      </c>
      <c r="BE491" s="333">
        <v>10</v>
      </c>
      <c r="BF491" s="334">
        <v>1</v>
      </c>
      <c r="BG491" s="334">
        <v>1.22</v>
      </c>
      <c r="BH491" s="335">
        <v>1.41</v>
      </c>
      <c r="BI491" s="334">
        <v>1.57</v>
      </c>
      <c r="BJ491" s="334">
        <v>1.68</v>
      </c>
      <c r="BL491" s="333">
        <v>10</v>
      </c>
      <c r="BM491" s="334">
        <v>1</v>
      </c>
      <c r="BN491" s="334">
        <v>1.17</v>
      </c>
      <c r="BO491" s="335">
        <v>1.31</v>
      </c>
      <c r="BP491" s="334">
        <v>1.41</v>
      </c>
      <c r="BQ491" s="334">
        <v>1.49</v>
      </c>
      <c r="BS491" s="333">
        <v>10</v>
      </c>
      <c r="BT491" s="334">
        <v>1</v>
      </c>
      <c r="BU491" s="334">
        <v>1.1000000000000001</v>
      </c>
      <c r="BV491" s="335">
        <v>1.18</v>
      </c>
      <c r="BW491" s="334">
        <v>1.23</v>
      </c>
      <c r="BX491" s="334">
        <v>1.25</v>
      </c>
      <c r="BZ491" s="333">
        <v>10</v>
      </c>
      <c r="CA491" s="334">
        <v>1</v>
      </c>
      <c r="CB491" s="334">
        <v>1.06</v>
      </c>
      <c r="CC491" s="335">
        <v>1.0900000000000001</v>
      </c>
      <c r="CD491" s="334">
        <v>1.1000000000000001</v>
      </c>
      <c r="CE491" s="334">
        <v>1.07</v>
      </c>
      <c r="CG491" s="333">
        <v>10</v>
      </c>
      <c r="CH491" s="334">
        <v>1</v>
      </c>
      <c r="CI491" s="334">
        <v>1.02</v>
      </c>
      <c r="CJ491" s="335">
        <v>1.01</v>
      </c>
      <c r="CK491" s="334">
        <v>0.99</v>
      </c>
      <c r="CL491" s="334">
        <v>0.94</v>
      </c>
      <c r="CN491" s="333">
        <v>10</v>
      </c>
      <c r="CO491" s="334">
        <v>1</v>
      </c>
      <c r="CP491" s="334">
        <v>1</v>
      </c>
      <c r="CQ491" s="335">
        <v>0.98</v>
      </c>
      <c r="CR491" s="334">
        <v>0.94</v>
      </c>
      <c r="CS491" s="334">
        <v>0.88</v>
      </c>
    </row>
    <row r="492" spans="3:97" x14ac:dyDescent="0.25">
      <c r="C492" s="333">
        <v>120</v>
      </c>
      <c r="D492" s="334">
        <v>0.87</v>
      </c>
      <c r="E492" s="334">
        <v>0.84</v>
      </c>
      <c r="F492" s="334">
        <v>0.79</v>
      </c>
      <c r="G492" s="334">
        <v>0.74</v>
      </c>
      <c r="H492" s="334">
        <v>0.67</v>
      </c>
      <c r="I492" s="334">
        <v>0.61</v>
      </c>
      <c r="J492" s="334">
        <v>0.55000000000000004</v>
      </c>
      <c r="K492" s="334">
        <v>0.5</v>
      </c>
      <c r="L492" s="334">
        <v>0.45</v>
      </c>
      <c r="M492" s="334">
        <v>0.4</v>
      </c>
      <c r="O492" s="333">
        <v>20</v>
      </c>
      <c r="P492" s="334">
        <v>1</v>
      </c>
      <c r="Q492" s="334">
        <v>1.01</v>
      </c>
      <c r="R492" s="335">
        <v>1</v>
      </c>
      <c r="S492" s="334">
        <v>0.96</v>
      </c>
      <c r="T492" s="334">
        <v>0.9</v>
      </c>
      <c r="V492" s="333">
        <v>20</v>
      </c>
      <c r="W492" s="334">
        <v>1</v>
      </c>
      <c r="X492" s="334">
        <v>1.04</v>
      </c>
      <c r="Y492" s="335">
        <v>1.06</v>
      </c>
      <c r="Z492" s="334">
        <v>1.05</v>
      </c>
      <c r="AA492" s="334">
        <v>1.02</v>
      </c>
      <c r="AC492" s="333">
        <v>20</v>
      </c>
      <c r="AD492" s="334">
        <v>1</v>
      </c>
      <c r="AE492" s="334">
        <v>1.0900000000000001</v>
      </c>
      <c r="AF492" s="335">
        <v>1.1499999999999999</v>
      </c>
      <c r="AG492" s="334">
        <v>1.18</v>
      </c>
      <c r="AH492" s="334">
        <v>1.19</v>
      </c>
      <c r="AJ492" s="333">
        <v>20</v>
      </c>
      <c r="AK492" s="334">
        <v>1</v>
      </c>
      <c r="AL492" s="334">
        <v>1.1399999999999999</v>
      </c>
      <c r="AM492" s="335">
        <v>1.25</v>
      </c>
      <c r="AN492" s="334">
        <v>1.33</v>
      </c>
      <c r="AO492" s="334">
        <v>1.38</v>
      </c>
      <c r="AQ492" s="333">
        <v>20</v>
      </c>
      <c r="AR492" s="334">
        <v>1</v>
      </c>
      <c r="AS492" s="334">
        <v>1.19</v>
      </c>
      <c r="AT492" s="335">
        <v>1.36</v>
      </c>
      <c r="AU492" s="334">
        <v>1.48</v>
      </c>
      <c r="AV492" s="334">
        <v>1.58</v>
      </c>
      <c r="AX492" s="333">
        <v>20</v>
      </c>
      <c r="AY492" s="334">
        <v>1</v>
      </c>
      <c r="AZ492" s="334">
        <v>1.22</v>
      </c>
      <c r="BA492" s="335">
        <v>1.43</v>
      </c>
      <c r="BB492" s="334">
        <v>1.59</v>
      </c>
      <c r="BC492" s="334">
        <v>1.7</v>
      </c>
      <c r="BE492" s="333">
        <v>20</v>
      </c>
      <c r="BF492" s="334">
        <v>1</v>
      </c>
      <c r="BG492" s="334">
        <v>1.21</v>
      </c>
      <c r="BH492" s="335">
        <v>1.39</v>
      </c>
      <c r="BI492" s="334">
        <v>1.54</v>
      </c>
      <c r="BJ492" s="334">
        <v>1.65</v>
      </c>
      <c r="BL492" s="333">
        <v>20</v>
      </c>
      <c r="BM492" s="334">
        <v>1</v>
      </c>
      <c r="BN492" s="334">
        <v>1.1599999999999999</v>
      </c>
      <c r="BO492" s="335">
        <v>1.29</v>
      </c>
      <c r="BP492" s="334">
        <v>1.39</v>
      </c>
      <c r="BQ492" s="334">
        <v>1.46</v>
      </c>
      <c r="BS492" s="333">
        <v>20</v>
      </c>
      <c r="BT492" s="334">
        <v>1</v>
      </c>
      <c r="BU492" s="334">
        <v>1.1000000000000001</v>
      </c>
      <c r="BV492" s="335">
        <v>1.17</v>
      </c>
      <c r="BW492" s="334">
        <v>1.21</v>
      </c>
      <c r="BX492" s="334">
        <v>1.23</v>
      </c>
      <c r="BZ492" s="333">
        <v>20</v>
      </c>
      <c r="CA492" s="334">
        <v>1</v>
      </c>
      <c r="CB492" s="334">
        <v>1.05</v>
      </c>
      <c r="CC492" s="335">
        <v>1.08</v>
      </c>
      <c r="CD492" s="334">
        <v>1.0900000000000001</v>
      </c>
      <c r="CE492" s="334">
        <v>1.07</v>
      </c>
      <c r="CG492" s="333">
        <v>20</v>
      </c>
      <c r="CH492" s="334">
        <v>1</v>
      </c>
      <c r="CI492" s="334">
        <v>1.01</v>
      </c>
      <c r="CJ492" s="335">
        <v>1.01</v>
      </c>
      <c r="CK492" s="334">
        <v>0.99</v>
      </c>
      <c r="CL492" s="334">
        <v>0.93</v>
      </c>
      <c r="CN492" s="333">
        <v>20</v>
      </c>
      <c r="CO492" s="334">
        <v>1</v>
      </c>
      <c r="CP492" s="334">
        <v>1</v>
      </c>
      <c r="CQ492" s="335">
        <v>0.98</v>
      </c>
      <c r="CR492" s="334">
        <v>0.94</v>
      </c>
      <c r="CS492" s="334">
        <v>0.88</v>
      </c>
    </row>
    <row r="493" spans="3:97" x14ac:dyDescent="0.25">
      <c r="C493" s="333">
        <v>130</v>
      </c>
      <c r="D493" s="334">
        <v>0.87</v>
      </c>
      <c r="E493" s="334">
        <v>0.83</v>
      </c>
      <c r="F493" s="334">
        <v>0.77</v>
      </c>
      <c r="G493" s="334">
        <v>0.71</v>
      </c>
      <c r="H493" s="334">
        <v>0.64</v>
      </c>
      <c r="I493" s="334">
        <v>0.56999999999999995</v>
      </c>
      <c r="J493" s="334">
        <v>0.51</v>
      </c>
      <c r="K493" s="334">
        <v>0.46</v>
      </c>
      <c r="L493" s="334">
        <v>0.41</v>
      </c>
      <c r="M493" s="334">
        <v>0.36</v>
      </c>
      <c r="O493" s="333">
        <v>30</v>
      </c>
      <c r="P493" s="334">
        <v>1</v>
      </c>
      <c r="Q493" s="334">
        <v>1.01</v>
      </c>
      <c r="R493" s="335">
        <v>1</v>
      </c>
      <c r="S493" s="334">
        <v>0.96</v>
      </c>
      <c r="T493" s="334">
        <v>0.91</v>
      </c>
      <c r="V493" s="333">
        <v>30</v>
      </c>
      <c r="W493" s="334">
        <v>1</v>
      </c>
      <c r="X493" s="334">
        <v>1.04</v>
      </c>
      <c r="Y493" s="335">
        <v>1.05</v>
      </c>
      <c r="Z493" s="334">
        <v>1.05</v>
      </c>
      <c r="AA493" s="334">
        <v>1.02</v>
      </c>
      <c r="AC493" s="333">
        <v>30</v>
      </c>
      <c r="AD493" s="334">
        <v>1</v>
      </c>
      <c r="AE493" s="334">
        <v>1.08</v>
      </c>
      <c r="AF493" s="335">
        <v>1.1399999999999999</v>
      </c>
      <c r="AG493" s="334">
        <v>1.17</v>
      </c>
      <c r="AH493" s="334">
        <v>1.1599999999999999</v>
      </c>
      <c r="AJ493" s="333">
        <v>30</v>
      </c>
      <c r="AK493" s="334">
        <v>1</v>
      </c>
      <c r="AL493" s="334">
        <v>1.1200000000000001</v>
      </c>
      <c r="AM493" s="335">
        <v>1.23</v>
      </c>
      <c r="AN493" s="334">
        <v>1.3</v>
      </c>
      <c r="AO493" s="334">
        <v>1.33</v>
      </c>
      <c r="AQ493" s="333">
        <v>30</v>
      </c>
      <c r="AR493" s="334">
        <v>1</v>
      </c>
      <c r="AS493" s="334">
        <v>1.18</v>
      </c>
      <c r="AT493" s="335">
        <v>1.32</v>
      </c>
      <c r="AU493" s="334">
        <v>1.44</v>
      </c>
      <c r="AV493" s="334">
        <v>1.52</v>
      </c>
      <c r="AX493" s="333">
        <v>30</v>
      </c>
      <c r="AY493" s="334">
        <v>1</v>
      </c>
      <c r="AZ493" s="334">
        <v>1.2</v>
      </c>
      <c r="BA493" s="335">
        <v>1.38</v>
      </c>
      <c r="BB493" s="334">
        <v>1.53</v>
      </c>
      <c r="BC493" s="334">
        <v>1.64</v>
      </c>
      <c r="BE493" s="333">
        <v>30</v>
      </c>
      <c r="BF493" s="334">
        <v>1</v>
      </c>
      <c r="BG493" s="334">
        <v>1.2</v>
      </c>
      <c r="BH493" s="335">
        <v>1.36</v>
      </c>
      <c r="BI493" s="334">
        <v>1.49</v>
      </c>
      <c r="BJ493" s="334">
        <v>1.59</v>
      </c>
      <c r="BL493" s="333">
        <v>30</v>
      </c>
      <c r="BM493" s="334">
        <v>1</v>
      </c>
      <c r="BN493" s="334">
        <v>1.1499999999999999</v>
      </c>
      <c r="BO493" s="335">
        <v>1.26</v>
      </c>
      <c r="BP493" s="334">
        <v>1.35</v>
      </c>
      <c r="BQ493" s="334">
        <v>1.41</v>
      </c>
      <c r="BS493" s="333">
        <v>30</v>
      </c>
      <c r="BT493" s="334">
        <v>1</v>
      </c>
      <c r="BU493" s="334">
        <v>1.0900000000000001</v>
      </c>
      <c r="BV493" s="335">
        <v>1.1599999999999999</v>
      </c>
      <c r="BW493" s="334">
        <v>1.19</v>
      </c>
      <c r="BX493" s="334">
        <v>1.2</v>
      </c>
      <c r="BZ493" s="333">
        <v>30</v>
      </c>
      <c r="CA493" s="334">
        <v>1</v>
      </c>
      <c r="CB493" s="334">
        <v>1.05</v>
      </c>
      <c r="CC493" s="335">
        <v>1.08</v>
      </c>
      <c r="CD493" s="334">
        <v>1.08</v>
      </c>
      <c r="CE493" s="334">
        <v>1.06</v>
      </c>
      <c r="CG493" s="333">
        <v>30</v>
      </c>
      <c r="CH493" s="334">
        <v>1</v>
      </c>
      <c r="CI493" s="334">
        <v>1.01</v>
      </c>
      <c r="CJ493" s="335">
        <v>1.01</v>
      </c>
      <c r="CK493" s="334">
        <v>0.98</v>
      </c>
      <c r="CL493" s="334">
        <v>0.93</v>
      </c>
      <c r="CN493" s="333">
        <v>30</v>
      </c>
      <c r="CO493" s="334">
        <v>1</v>
      </c>
      <c r="CP493" s="334">
        <v>1</v>
      </c>
      <c r="CQ493" s="335">
        <v>0.98</v>
      </c>
      <c r="CR493" s="334">
        <v>0.94</v>
      </c>
      <c r="CS493" s="334">
        <v>0.88</v>
      </c>
    </row>
    <row r="494" spans="3:97" x14ac:dyDescent="0.25">
      <c r="C494" s="333">
        <v>140</v>
      </c>
      <c r="D494" s="334">
        <v>0.87</v>
      </c>
      <c r="E494" s="334">
        <v>0.82</v>
      </c>
      <c r="F494" s="334">
        <v>0.76</v>
      </c>
      <c r="G494" s="334">
        <v>0.68</v>
      </c>
      <c r="H494" s="334">
        <v>0.6</v>
      </c>
      <c r="I494" s="334">
        <v>0.53</v>
      </c>
      <c r="J494" s="334">
        <v>0.47</v>
      </c>
      <c r="K494" s="334">
        <v>0.41</v>
      </c>
      <c r="L494" s="334">
        <v>0.37</v>
      </c>
      <c r="M494" s="334">
        <v>0.33</v>
      </c>
      <c r="O494" s="333">
        <v>40</v>
      </c>
      <c r="P494" s="334">
        <v>1</v>
      </c>
      <c r="Q494" s="334">
        <v>1.01</v>
      </c>
      <c r="R494" s="335">
        <v>0.99</v>
      </c>
      <c r="S494" s="334">
        <v>0.96</v>
      </c>
      <c r="T494" s="334">
        <v>0.91</v>
      </c>
      <c r="V494" s="333">
        <v>40</v>
      </c>
      <c r="W494" s="334">
        <v>1</v>
      </c>
      <c r="X494" s="334">
        <v>1.03</v>
      </c>
      <c r="Y494" s="335">
        <v>1.05</v>
      </c>
      <c r="Z494" s="334">
        <v>1.04</v>
      </c>
      <c r="AA494" s="334">
        <v>1.01</v>
      </c>
      <c r="AC494" s="333">
        <v>40</v>
      </c>
      <c r="AD494" s="334">
        <v>1</v>
      </c>
      <c r="AE494" s="334">
        <v>1.07</v>
      </c>
      <c r="AF494" s="335">
        <v>1.1200000000000001</v>
      </c>
      <c r="AG494" s="334">
        <v>1.1399999999999999</v>
      </c>
      <c r="AH494" s="334">
        <v>1.1399999999999999</v>
      </c>
      <c r="AJ494" s="333">
        <v>40</v>
      </c>
      <c r="AK494" s="334">
        <v>1</v>
      </c>
      <c r="AL494" s="334">
        <v>1.1100000000000001</v>
      </c>
      <c r="AM494" s="335">
        <v>1.2</v>
      </c>
      <c r="AN494" s="334">
        <v>1.26</v>
      </c>
      <c r="AO494" s="334">
        <v>1.29</v>
      </c>
      <c r="AQ494" s="333">
        <v>40</v>
      </c>
      <c r="AR494" s="334">
        <v>1</v>
      </c>
      <c r="AS494" s="334">
        <v>1.1499999999999999</v>
      </c>
      <c r="AT494" s="335">
        <v>1.29</v>
      </c>
      <c r="AU494" s="334">
        <v>1.38</v>
      </c>
      <c r="AV494" s="334">
        <v>1.46</v>
      </c>
      <c r="AX494" s="333">
        <v>40</v>
      </c>
      <c r="AY494" s="334">
        <v>1</v>
      </c>
      <c r="AZ494" s="334">
        <v>1.18</v>
      </c>
      <c r="BA494" s="335">
        <v>1.34</v>
      </c>
      <c r="BB494" s="334">
        <v>1.47</v>
      </c>
      <c r="BC494" s="334">
        <v>1.56</v>
      </c>
      <c r="BE494" s="333">
        <v>40</v>
      </c>
      <c r="BF494" s="334">
        <v>1</v>
      </c>
      <c r="BG494" s="334">
        <v>1.18</v>
      </c>
      <c r="BH494" s="335">
        <v>1.32</v>
      </c>
      <c r="BI494" s="334">
        <v>1.43</v>
      </c>
      <c r="BJ494" s="334">
        <v>1.51</v>
      </c>
      <c r="BL494" s="333">
        <v>40</v>
      </c>
      <c r="BM494" s="334">
        <v>1</v>
      </c>
      <c r="BN494" s="334">
        <v>1.1299999999999999</v>
      </c>
      <c r="BO494" s="335">
        <v>1.23</v>
      </c>
      <c r="BP494" s="334">
        <v>1.31</v>
      </c>
      <c r="BQ494" s="334">
        <v>1.35</v>
      </c>
      <c r="BS494" s="333">
        <v>40</v>
      </c>
      <c r="BT494" s="334">
        <v>1</v>
      </c>
      <c r="BU494" s="334">
        <v>1.08</v>
      </c>
      <c r="BV494" s="335">
        <v>1.1299999999999999</v>
      </c>
      <c r="BW494" s="334">
        <v>1.17</v>
      </c>
      <c r="BX494" s="334">
        <v>1.17</v>
      </c>
      <c r="BZ494" s="333">
        <v>40</v>
      </c>
      <c r="CA494" s="334">
        <v>1</v>
      </c>
      <c r="CB494" s="334">
        <v>1.04</v>
      </c>
      <c r="CC494" s="335">
        <v>1.07</v>
      </c>
      <c r="CD494" s="334">
        <v>1.07</v>
      </c>
      <c r="CE494" s="334">
        <v>1.04</v>
      </c>
      <c r="CG494" s="333">
        <v>40</v>
      </c>
      <c r="CH494" s="334">
        <v>1</v>
      </c>
      <c r="CI494" s="334">
        <v>1.01</v>
      </c>
      <c r="CJ494" s="335">
        <v>1</v>
      </c>
      <c r="CK494" s="334">
        <v>0.98</v>
      </c>
      <c r="CL494" s="334">
        <v>0.94</v>
      </c>
      <c r="CN494" s="333">
        <v>40</v>
      </c>
      <c r="CO494" s="334">
        <v>1</v>
      </c>
      <c r="CP494" s="334">
        <v>1</v>
      </c>
      <c r="CQ494" s="335">
        <v>0.98</v>
      </c>
      <c r="CR494" s="334">
        <v>0.94</v>
      </c>
      <c r="CS494" s="334">
        <v>0.89</v>
      </c>
    </row>
    <row r="495" spans="3:97" x14ac:dyDescent="0.25">
      <c r="C495" s="333">
        <v>150</v>
      </c>
      <c r="D495" s="334">
        <v>0.87</v>
      </c>
      <c r="E495" s="334">
        <v>0.82</v>
      </c>
      <c r="F495" s="334">
        <v>0.75</v>
      </c>
      <c r="G495" s="334">
        <v>0.67</v>
      </c>
      <c r="H495" s="334">
        <v>0.57999999999999996</v>
      </c>
      <c r="I495" s="334">
        <v>0.5</v>
      </c>
      <c r="J495" s="334">
        <v>0.43</v>
      </c>
      <c r="K495" s="334">
        <v>0.37</v>
      </c>
      <c r="L495" s="334">
        <v>0.33</v>
      </c>
      <c r="M495" s="334">
        <v>0.3</v>
      </c>
      <c r="O495" s="333">
        <v>50</v>
      </c>
      <c r="P495" s="334">
        <v>1</v>
      </c>
      <c r="Q495" s="334">
        <v>1.01</v>
      </c>
      <c r="R495" s="335">
        <v>0.99</v>
      </c>
      <c r="S495" s="334">
        <v>0.96</v>
      </c>
      <c r="T495" s="334">
        <v>0.91</v>
      </c>
      <c r="V495" s="333">
        <v>50</v>
      </c>
      <c r="W495" s="334">
        <v>1</v>
      </c>
      <c r="X495" s="334">
        <v>1.03</v>
      </c>
      <c r="Y495" s="335">
        <v>1.04</v>
      </c>
      <c r="Z495" s="334">
        <v>1.03</v>
      </c>
      <c r="AA495" s="334">
        <v>1</v>
      </c>
      <c r="AC495" s="333">
        <v>50</v>
      </c>
      <c r="AD495" s="334">
        <v>1</v>
      </c>
      <c r="AE495" s="334">
        <v>1.06</v>
      </c>
      <c r="AF495" s="335">
        <v>1.1000000000000001</v>
      </c>
      <c r="AG495" s="334">
        <v>1.1100000000000001</v>
      </c>
      <c r="AH495" s="334">
        <v>1.1100000000000001</v>
      </c>
      <c r="AJ495" s="333">
        <v>50</v>
      </c>
      <c r="AK495" s="334">
        <v>1</v>
      </c>
      <c r="AL495" s="334">
        <v>1.0900000000000001</v>
      </c>
      <c r="AM495" s="335">
        <v>1.1599999999999999</v>
      </c>
      <c r="AN495" s="334">
        <v>1.22</v>
      </c>
      <c r="AO495" s="334">
        <v>1.24</v>
      </c>
      <c r="AQ495" s="333">
        <v>50</v>
      </c>
      <c r="AR495" s="334">
        <v>1</v>
      </c>
      <c r="AS495" s="334">
        <v>1.1299999999999999</v>
      </c>
      <c r="AT495" s="335">
        <v>1.24</v>
      </c>
      <c r="AU495" s="334">
        <v>1.32</v>
      </c>
      <c r="AV495" s="334">
        <v>1.37</v>
      </c>
      <c r="AX495" s="333">
        <v>50</v>
      </c>
      <c r="AY495" s="334">
        <v>1</v>
      </c>
      <c r="AZ495" s="334">
        <v>1.1599999999999999</v>
      </c>
      <c r="BA495" s="335">
        <v>1.29</v>
      </c>
      <c r="BB495" s="334">
        <v>1.39</v>
      </c>
      <c r="BC495" s="334">
        <v>1.46</v>
      </c>
      <c r="BE495" s="333">
        <v>50</v>
      </c>
      <c r="BF495" s="334">
        <v>1</v>
      </c>
      <c r="BG495" s="334">
        <v>1.1499999999999999</v>
      </c>
      <c r="BH495" s="335">
        <v>1.27</v>
      </c>
      <c r="BI495" s="334">
        <v>1.36</v>
      </c>
      <c r="BJ495" s="334">
        <v>1.42</v>
      </c>
      <c r="BL495" s="333">
        <v>50</v>
      </c>
      <c r="BM495" s="334">
        <v>1</v>
      </c>
      <c r="BN495" s="334">
        <v>1.1100000000000001</v>
      </c>
      <c r="BO495" s="335">
        <v>1.2</v>
      </c>
      <c r="BP495" s="334">
        <v>1.26</v>
      </c>
      <c r="BQ495" s="334">
        <v>1.29</v>
      </c>
      <c r="BS495" s="333">
        <v>50</v>
      </c>
      <c r="BT495" s="334">
        <v>1</v>
      </c>
      <c r="BU495" s="334">
        <v>1.06</v>
      </c>
      <c r="BV495" s="335">
        <v>1.1100000000000001</v>
      </c>
      <c r="BW495" s="334">
        <v>1.1299999999999999</v>
      </c>
      <c r="BX495" s="334">
        <v>1.1299999999999999</v>
      </c>
      <c r="BZ495" s="333">
        <v>50</v>
      </c>
      <c r="CA495" s="334">
        <v>1</v>
      </c>
      <c r="CB495" s="334">
        <v>1.04</v>
      </c>
      <c r="CC495" s="335">
        <v>1.05</v>
      </c>
      <c r="CD495" s="334">
        <v>1.05</v>
      </c>
      <c r="CE495" s="334">
        <v>1.03</v>
      </c>
      <c r="CG495" s="333">
        <v>50</v>
      </c>
      <c r="CH495" s="334">
        <v>1</v>
      </c>
      <c r="CI495" s="334">
        <v>1.01</v>
      </c>
      <c r="CJ495" s="335">
        <v>1</v>
      </c>
      <c r="CK495" s="334">
        <v>0.97</v>
      </c>
      <c r="CL495" s="334">
        <v>0.93</v>
      </c>
      <c r="CN495" s="333">
        <v>50</v>
      </c>
      <c r="CO495" s="334">
        <v>1</v>
      </c>
      <c r="CP495" s="334">
        <v>1</v>
      </c>
      <c r="CQ495" s="335">
        <v>0.98</v>
      </c>
      <c r="CR495" s="334">
        <v>0.95</v>
      </c>
      <c r="CS495" s="334">
        <v>0.9</v>
      </c>
    </row>
    <row r="496" spans="3:97" x14ac:dyDescent="0.25">
      <c r="C496" s="333">
        <v>160</v>
      </c>
      <c r="D496" s="334">
        <v>0.87</v>
      </c>
      <c r="E496" s="334">
        <v>0.81</v>
      </c>
      <c r="F496" s="334">
        <v>0.74</v>
      </c>
      <c r="G496" s="334">
        <v>0.65</v>
      </c>
      <c r="H496" s="334">
        <v>0.56000000000000005</v>
      </c>
      <c r="I496" s="334">
        <v>0.48</v>
      </c>
      <c r="J496" s="334">
        <v>0.4</v>
      </c>
      <c r="K496" s="334">
        <v>0.34</v>
      </c>
      <c r="L496" s="334">
        <v>0.3</v>
      </c>
      <c r="M496" s="334">
        <v>0.27</v>
      </c>
      <c r="O496" s="333">
        <v>60</v>
      </c>
      <c r="P496" s="334">
        <v>1</v>
      </c>
      <c r="Q496" s="334">
        <v>1</v>
      </c>
      <c r="R496" s="335">
        <v>0.99</v>
      </c>
      <c r="S496" s="334">
        <v>0.96</v>
      </c>
      <c r="T496" s="334">
        <v>0.92</v>
      </c>
      <c r="V496" s="333">
        <v>60</v>
      </c>
      <c r="W496" s="334">
        <v>1</v>
      </c>
      <c r="X496" s="334">
        <v>1.02</v>
      </c>
      <c r="Y496" s="335">
        <v>1.03</v>
      </c>
      <c r="Z496" s="334">
        <v>1.02</v>
      </c>
      <c r="AA496" s="334">
        <v>0.99</v>
      </c>
      <c r="AC496" s="333">
        <v>60</v>
      </c>
      <c r="AD496" s="334">
        <v>1</v>
      </c>
      <c r="AE496" s="334">
        <v>1.05</v>
      </c>
      <c r="AF496" s="335">
        <v>1.08</v>
      </c>
      <c r="AG496" s="334">
        <v>1.0900000000000001</v>
      </c>
      <c r="AH496" s="334">
        <v>1.07</v>
      </c>
      <c r="AJ496" s="333">
        <v>60</v>
      </c>
      <c r="AK496" s="334">
        <v>1</v>
      </c>
      <c r="AL496" s="334">
        <v>1.07</v>
      </c>
      <c r="AM496" s="335">
        <v>1.1200000000000001</v>
      </c>
      <c r="AN496" s="334">
        <v>1.1599999999999999</v>
      </c>
      <c r="AO496" s="334">
        <v>1.17</v>
      </c>
      <c r="AQ496" s="333">
        <v>60</v>
      </c>
      <c r="AR496" s="334">
        <v>1</v>
      </c>
      <c r="AS496" s="334">
        <v>1.1000000000000001</v>
      </c>
      <c r="AT496" s="335">
        <v>1.19</v>
      </c>
      <c r="AU496" s="334">
        <v>1.24</v>
      </c>
      <c r="AV496" s="334">
        <v>1.28</v>
      </c>
      <c r="AX496" s="333">
        <v>60</v>
      </c>
      <c r="AY496" s="334">
        <v>1</v>
      </c>
      <c r="AZ496" s="334">
        <v>1.1299999999999999</v>
      </c>
      <c r="BA496" s="335">
        <v>1.22</v>
      </c>
      <c r="BB496" s="334">
        <v>1.3</v>
      </c>
      <c r="BC496" s="334">
        <v>1.35</v>
      </c>
      <c r="BE496" s="333">
        <v>60</v>
      </c>
      <c r="BF496" s="334">
        <v>1</v>
      </c>
      <c r="BG496" s="334">
        <v>1.1200000000000001</v>
      </c>
      <c r="BH496" s="335">
        <v>1.21</v>
      </c>
      <c r="BI496" s="334">
        <v>1.28</v>
      </c>
      <c r="BJ496" s="334">
        <v>1.32</v>
      </c>
      <c r="BL496" s="333">
        <v>60</v>
      </c>
      <c r="BM496" s="334">
        <v>1</v>
      </c>
      <c r="BN496" s="334">
        <v>1.08</v>
      </c>
      <c r="BO496" s="335">
        <v>1.1499999999999999</v>
      </c>
      <c r="BP496" s="334">
        <v>1.2</v>
      </c>
      <c r="BQ496" s="334">
        <v>1.21</v>
      </c>
      <c r="BS496" s="333">
        <v>60</v>
      </c>
      <c r="BT496" s="334">
        <v>1</v>
      </c>
      <c r="BU496" s="334">
        <v>1.05</v>
      </c>
      <c r="BV496" s="335">
        <v>1.08</v>
      </c>
      <c r="BW496" s="334">
        <v>1.1000000000000001</v>
      </c>
      <c r="BX496" s="334">
        <v>1.0900000000000001</v>
      </c>
      <c r="BZ496" s="333">
        <v>60</v>
      </c>
      <c r="CA496" s="334">
        <v>1</v>
      </c>
      <c r="CB496" s="334">
        <v>1.03</v>
      </c>
      <c r="CC496" s="335">
        <v>1.04</v>
      </c>
      <c r="CD496" s="334">
        <v>1.03</v>
      </c>
      <c r="CE496" s="334">
        <v>1.01</v>
      </c>
      <c r="CG496" s="333">
        <v>60</v>
      </c>
      <c r="CH496" s="334">
        <v>1</v>
      </c>
      <c r="CI496" s="334">
        <v>1</v>
      </c>
      <c r="CJ496" s="335">
        <v>1</v>
      </c>
      <c r="CK496" s="334">
        <v>0.97</v>
      </c>
      <c r="CL496" s="334">
        <v>0.93</v>
      </c>
      <c r="CN496" s="333">
        <v>60</v>
      </c>
      <c r="CO496" s="334">
        <v>1</v>
      </c>
      <c r="CP496" s="334">
        <v>1</v>
      </c>
      <c r="CQ496" s="335">
        <v>0.98</v>
      </c>
      <c r="CR496" s="334">
        <v>0.95</v>
      </c>
      <c r="CS496" s="334">
        <v>0.9</v>
      </c>
    </row>
    <row r="497" spans="3:97" x14ac:dyDescent="0.25">
      <c r="C497" s="333">
        <v>170</v>
      </c>
      <c r="D497" s="334">
        <v>0.87</v>
      </c>
      <c r="E497" s="334">
        <v>0.81</v>
      </c>
      <c r="F497" s="334">
        <v>0.74</v>
      </c>
      <c r="G497" s="334">
        <v>0.64</v>
      </c>
      <c r="H497" s="334">
        <v>0.55000000000000004</v>
      </c>
      <c r="I497" s="334">
        <v>0.47</v>
      </c>
      <c r="J497" s="334">
        <v>0.39</v>
      </c>
      <c r="K497" s="334">
        <v>0.32</v>
      </c>
      <c r="L497" s="334">
        <v>0.28000000000000003</v>
      </c>
      <c r="M497" s="334">
        <v>0.26</v>
      </c>
      <c r="O497" s="333">
        <v>70</v>
      </c>
      <c r="P497" s="334">
        <v>1</v>
      </c>
      <c r="Q497" s="334">
        <v>1</v>
      </c>
      <c r="R497" s="335">
        <v>0.99</v>
      </c>
      <c r="S497" s="334">
        <v>0.96</v>
      </c>
      <c r="T497" s="334">
        <v>0.91</v>
      </c>
      <c r="V497" s="333">
        <v>70</v>
      </c>
      <c r="W497" s="334">
        <v>1</v>
      </c>
      <c r="X497" s="334">
        <v>1.02</v>
      </c>
      <c r="Y497" s="335">
        <v>1.02</v>
      </c>
      <c r="Z497" s="334">
        <v>1</v>
      </c>
      <c r="AA497" s="334">
        <v>0.97</v>
      </c>
      <c r="AC497" s="333">
        <v>70</v>
      </c>
      <c r="AD497" s="334">
        <v>1</v>
      </c>
      <c r="AE497" s="334">
        <v>1.03</v>
      </c>
      <c r="AF497" s="335">
        <v>1.05</v>
      </c>
      <c r="AG497" s="334">
        <v>1.05</v>
      </c>
      <c r="AH497" s="334">
        <v>1.03</v>
      </c>
      <c r="AJ497" s="333">
        <v>70</v>
      </c>
      <c r="AK497" s="334">
        <v>1</v>
      </c>
      <c r="AL497" s="334">
        <v>1.05</v>
      </c>
      <c r="AM497" s="335">
        <v>1.08</v>
      </c>
      <c r="AN497" s="334">
        <v>1.1000000000000001</v>
      </c>
      <c r="AO497" s="334">
        <v>1.1000000000000001</v>
      </c>
      <c r="AQ497" s="333">
        <v>70</v>
      </c>
      <c r="AR497" s="334">
        <v>1</v>
      </c>
      <c r="AS497" s="334">
        <v>1.07</v>
      </c>
      <c r="AT497" s="335">
        <v>1.1299999999999999</v>
      </c>
      <c r="AU497" s="334">
        <v>1.17</v>
      </c>
      <c r="AV497" s="334">
        <v>1.19</v>
      </c>
      <c r="AX497" s="333">
        <v>70</v>
      </c>
      <c r="AY497" s="334">
        <v>1</v>
      </c>
      <c r="AZ497" s="334">
        <v>1.0900000000000001</v>
      </c>
      <c r="BA497" s="335">
        <v>1.1599999999999999</v>
      </c>
      <c r="BB497" s="334">
        <v>1.21</v>
      </c>
      <c r="BC497" s="334">
        <v>1.23</v>
      </c>
      <c r="BE497" s="333">
        <v>70</v>
      </c>
      <c r="BF497" s="334">
        <v>1</v>
      </c>
      <c r="BG497" s="334">
        <v>1.0900000000000001</v>
      </c>
      <c r="BH497" s="335">
        <v>1.1499999999999999</v>
      </c>
      <c r="BI497" s="334">
        <v>1.19</v>
      </c>
      <c r="BJ497" s="334">
        <v>1.22</v>
      </c>
      <c r="BL497" s="333">
        <v>70</v>
      </c>
      <c r="BM497" s="334">
        <v>1</v>
      </c>
      <c r="BN497" s="334">
        <v>1.06</v>
      </c>
      <c r="BO497" s="335">
        <v>1.1100000000000001</v>
      </c>
      <c r="BP497" s="334">
        <v>1.1200000000000001</v>
      </c>
      <c r="BQ497" s="334">
        <v>1.1399999999999999</v>
      </c>
      <c r="BS497" s="333">
        <v>70</v>
      </c>
      <c r="BT497" s="334">
        <v>1</v>
      </c>
      <c r="BU497" s="334">
        <v>1.03</v>
      </c>
      <c r="BV497" s="335">
        <v>1.05</v>
      </c>
      <c r="BW497" s="334">
        <v>1.05</v>
      </c>
      <c r="BX497" s="334">
        <v>1.05</v>
      </c>
      <c r="BZ497" s="333">
        <v>70</v>
      </c>
      <c r="CA497" s="334">
        <v>1</v>
      </c>
      <c r="CB497" s="334">
        <v>1.02</v>
      </c>
      <c r="CC497" s="335">
        <v>1.02</v>
      </c>
      <c r="CD497" s="334">
        <v>1.01</v>
      </c>
      <c r="CE497" s="334">
        <v>0.98</v>
      </c>
      <c r="CG497" s="333">
        <v>70</v>
      </c>
      <c r="CH497" s="334">
        <v>1</v>
      </c>
      <c r="CI497" s="334">
        <v>1</v>
      </c>
      <c r="CJ497" s="335">
        <v>0.99</v>
      </c>
      <c r="CK497" s="334">
        <v>0.96</v>
      </c>
      <c r="CL497" s="334">
        <v>0.92</v>
      </c>
      <c r="CN497" s="333">
        <v>70</v>
      </c>
      <c r="CO497" s="334">
        <v>1</v>
      </c>
      <c r="CP497" s="334">
        <v>1</v>
      </c>
      <c r="CQ497" s="335">
        <v>0.98</v>
      </c>
      <c r="CR497" s="334">
        <v>0.95</v>
      </c>
      <c r="CS497" s="334">
        <v>0.9</v>
      </c>
    </row>
    <row r="498" spans="3:97" x14ac:dyDescent="0.25">
      <c r="C498" s="333">
        <v>180</v>
      </c>
      <c r="D498" s="334">
        <v>0.87</v>
      </c>
      <c r="E498" s="334">
        <v>0.81</v>
      </c>
      <c r="F498" s="334">
        <v>0.74</v>
      </c>
      <c r="G498" s="334">
        <v>0.64</v>
      </c>
      <c r="H498" s="334">
        <v>0.55000000000000004</v>
      </c>
      <c r="I498" s="334">
        <v>0.47</v>
      </c>
      <c r="J498" s="334">
        <v>0.39</v>
      </c>
      <c r="K498" s="334">
        <v>0.32</v>
      </c>
      <c r="L498" s="334">
        <v>0.27</v>
      </c>
      <c r="M498" s="334">
        <v>0.25</v>
      </c>
      <c r="O498" s="333">
        <v>80</v>
      </c>
      <c r="P498" s="334">
        <v>1</v>
      </c>
      <c r="Q498" s="334">
        <v>1</v>
      </c>
      <c r="R498" s="335">
        <v>0.98</v>
      </c>
      <c r="S498" s="334">
        <v>0.95</v>
      </c>
      <c r="T498" s="334">
        <v>0.91</v>
      </c>
      <c r="V498" s="333">
        <v>80</v>
      </c>
      <c r="W498" s="334">
        <v>1</v>
      </c>
      <c r="X498" s="334">
        <v>1.01</v>
      </c>
      <c r="Y498" s="335">
        <v>1</v>
      </c>
      <c r="Z498" s="334">
        <v>0.98</v>
      </c>
      <c r="AA498" s="334">
        <v>0.95</v>
      </c>
      <c r="AC498" s="333">
        <v>80</v>
      </c>
      <c r="AD498" s="334">
        <v>1</v>
      </c>
      <c r="AE498" s="334">
        <v>1.02</v>
      </c>
      <c r="AF498" s="335">
        <v>1.02</v>
      </c>
      <c r="AG498" s="334">
        <v>1.01</v>
      </c>
      <c r="AH498" s="334">
        <v>1</v>
      </c>
      <c r="AJ498" s="333">
        <v>80</v>
      </c>
      <c r="AK498" s="334">
        <v>1</v>
      </c>
      <c r="AL498" s="334">
        <v>1.03</v>
      </c>
      <c r="AM498" s="335">
        <v>1.04</v>
      </c>
      <c r="AN498" s="334">
        <v>1.05</v>
      </c>
      <c r="AO498" s="334">
        <v>1.03</v>
      </c>
      <c r="AQ498" s="333">
        <v>80</v>
      </c>
      <c r="AR498" s="334">
        <v>1</v>
      </c>
      <c r="AS498" s="334">
        <v>1.04</v>
      </c>
      <c r="AT498" s="335">
        <v>1.06</v>
      </c>
      <c r="AU498" s="334">
        <v>1.0900000000000001</v>
      </c>
      <c r="AV498" s="334">
        <v>1.08</v>
      </c>
      <c r="AX498" s="333">
        <v>80</v>
      </c>
      <c r="AY498" s="334">
        <v>1</v>
      </c>
      <c r="AZ498" s="334">
        <v>1.05</v>
      </c>
      <c r="BA498" s="335">
        <v>1.0900000000000001</v>
      </c>
      <c r="BB498" s="334">
        <v>1.1200000000000001</v>
      </c>
      <c r="BC498" s="334">
        <v>1.1200000000000001</v>
      </c>
      <c r="BE498" s="333">
        <v>80</v>
      </c>
      <c r="BF498" s="334">
        <v>1</v>
      </c>
      <c r="BG498" s="334">
        <v>1.05</v>
      </c>
      <c r="BH498" s="335">
        <v>1.08</v>
      </c>
      <c r="BI498" s="334">
        <v>1.1100000000000001</v>
      </c>
      <c r="BJ498" s="334">
        <v>1.1100000000000001</v>
      </c>
      <c r="BL498" s="333">
        <v>80</v>
      </c>
      <c r="BM498" s="334">
        <v>1</v>
      </c>
      <c r="BN498" s="334">
        <v>1.03</v>
      </c>
      <c r="BO498" s="335">
        <v>1.05</v>
      </c>
      <c r="BP498" s="334">
        <v>1.06</v>
      </c>
      <c r="BQ498" s="334">
        <v>1.05</v>
      </c>
      <c r="BS498" s="333">
        <v>80</v>
      </c>
      <c r="BT498" s="334">
        <v>1</v>
      </c>
      <c r="BU498" s="334">
        <v>1.02</v>
      </c>
      <c r="BV498" s="335">
        <v>1.02</v>
      </c>
      <c r="BW498" s="334">
        <v>1.01</v>
      </c>
      <c r="BX498" s="334">
        <v>0.99</v>
      </c>
      <c r="BZ498" s="333">
        <v>80</v>
      </c>
      <c r="CA498" s="334">
        <v>1</v>
      </c>
      <c r="CB498" s="334">
        <v>1.01</v>
      </c>
      <c r="CC498" s="335">
        <v>1</v>
      </c>
      <c r="CD498" s="334">
        <v>0.99</v>
      </c>
      <c r="CE498" s="334">
        <v>0.96</v>
      </c>
      <c r="CG498" s="333">
        <v>80</v>
      </c>
      <c r="CH498" s="334">
        <v>1</v>
      </c>
      <c r="CI498" s="334">
        <v>1</v>
      </c>
      <c r="CJ498" s="335">
        <v>0.98</v>
      </c>
      <c r="CK498" s="334">
        <v>0.95</v>
      </c>
      <c r="CL498" s="334">
        <v>0.91</v>
      </c>
      <c r="CN498" s="333">
        <v>80</v>
      </c>
      <c r="CO498" s="334">
        <v>1</v>
      </c>
      <c r="CP498" s="334">
        <v>1</v>
      </c>
      <c r="CQ498" s="335">
        <v>0.98</v>
      </c>
      <c r="CR498" s="334">
        <v>0.95</v>
      </c>
      <c r="CS498" s="334">
        <v>0.9</v>
      </c>
    </row>
    <row r="499" spans="3:97" x14ac:dyDescent="0.25">
      <c r="C499" s="333">
        <v>190</v>
      </c>
      <c r="D499" s="334">
        <v>0.87</v>
      </c>
      <c r="E499" s="334">
        <v>0.81</v>
      </c>
      <c r="F499" s="334">
        <v>0.74</v>
      </c>
      <c r="G499" s="334">
        <v>0.65</v>
      </c>
      <c r="H499" s="334">
        <v>0.55000000000000004</v>
      </c>
      <c r="I499" s="334">
        <v>0.47</v>
      </c>
      <c r="J499" s="334">
        <v>0.39</v>
      </c>
      <c r="K499" s="334">
        <v>0.33</v>
      </c>
      <c r="L499" s="334">
        <v>0.28000000000000003</v>
      </c>
      <c r="M499" s="334">
        <v>0.26</v>
      </c>
      <c r="O499" s="333">
        <v>90</v>
      </c>
      <c r="P499" s="334">
        <v>1</v>
      </c>
      <c r="Q499" s="334">
        <v>1</v>
      </c>
      <c r="R499" s="335">
        <v>0.98</v>
      </c>
      <c r="S499" s="334">
        <v>0.94</v>
      </c>
      <c r="T499" s="334">
        <v>0.9</v>
      </c>
      <c r="V499" s="333">
        <v>90</v>
      </c>
      <c r="W499" s="334">
        <v>1</v>
      </c>
      <c r="X499" s="334">
        <v>1</v>
      </c>
      <c r="Y499" s="335">
        <v>0.99</v>
      </c>
      <c r="Z499" s="334">
        <v>0.96</v>
      </c>
      <c r="AA499" s="334">
        <v>0.93</v>
      </c>
      <c r="AC499" s="333">
        <v>90</v>
      </c>
      <c r="AD499" s="334">
        <v>1</v>
      </c>
      <c r="AE499" s="334">
        <v>1</v>
      </c>
      <c r="AF499" s="335">
        <v>1</v>
      </c>
      <c r="AG499" s="334">
        <v>0.97</v>
      </c>
      <c r="AH499" s="334">
        <v>0.95</v>
      </c>
      <c r="AJ499" s="333">
        <v>90</v>
      </c>
      <c r="AK499" s="334">
        <v>1</v>
      </c>
      <c r="AL499" s="334">
        <v>1</v>
      </c>
      <c r="AM499" s="335">
        <v>0.99</v>
      </c>
      <c r="AN499" s="334">
        <v>0.98</v>
      </c>
      <c r="AO499" s="334">
        <v>0.96</v>
      </c>
      <c r="AQ499" s="333">
        <v>90</v>
      </c>
      <c r="AR499" s="334">
        <v>1</v>
      </c>
      <c r="AS499" s="334">
        <v>1.01</v>
      </c>
      <c r="AT499" s="335">
        <v>1.01</v>
      </c>
      <c r="AU499" s="334">
        <v>1</v>
      </c>
      <c r="AV499" s="334">
        <v>0.98</v>
      </c>
      <c r="AX499" s="333">
        <v>90</v>
      </c>
      <c r="AY499" s="334">
        <v>1</v>
      </c>
      <c r="AZ499" s="334">
        <v>1.01</v>
      </c>
      <c r="BA499" s="335">
        <v>1.01</v>
      </c>
      <c r="BB499" s="334">
        <v>1.01</v>
      </c>
      <c r="BC499" s="334">
        <v>1</v>
      </c>
      <c r="BE499" s="333">
        <v>90</v>
      </c>
      <c r="BF499" s="334">
        <v>1</v>
      </c>
      <c r="BG499" s="334">
        <v>1.02</v>
      </c>
      <c r="BH499" s="335">
        <v>1.02</v>
      </c>
      <c r="BI499" s="334">
        <v>1.01</v>
      </c>
      <c r="BJ499" s="334">
        <v>1</v>
      </c>
      <c r="BL499" s="333">
        <v>90</v>
      </c>
      <c r="BM499" s="334">
        <v>1</v>
      </c>
      <c r="BN499" s="334">
        <v>1</v>
      </c>
      <c r="BO499" s="335">
        <v>1</v>
      </c>
      <c r="BP499" s="334">
        <v>0.98</v>
      </c>
      <c r="BQ499" s="334">
        <v>0.96</v>
      </c>
      <c r="BS499" s="333">
        <v>90</v>
      </c>
      <c r="BT499" s="334">
        <v>1</v>
      </c>
      <c r="BU499" s="334">
        <v>1</v>
      </c>
      <c r="BV499" s="335">
        <v>0.99</v>
      </c>
      <c r="BW499" s="334">
        <v>0.97</v>
      </c>
      <c r="BX499" s="334">
        <v>0.94</v>
      </c>
      <c r="BZ499" s="333">
        <v>90</v>
      </c>
      <c r="CA499" s="334">
        <v>1</v>
      </c>
      <c r="CB499" s="334">
        <v>1</v>
      </c>
      <c r="CC499" s="335">
        <v>0.99</v>
      </c>
      <c r="CD499" s="334">
        <v>0.96</v>
      </c>
      <c r="CE499" s="334">
        <v>0.93</v>
      </c>
      <c r="CG499" s="333">
        <v>90</v>
      </c>
      <c r="CH499" s="334">
        <v>1</v>
      </c>
      <c r="CI499" s="334">
        <v>0.99</v>
      </c>
      <c r="CJ499" s="335">
        <v>0.97</v>
      </c>
      <c r="CK499" s="334">
        <v>0.94</v>
      </c>
      <c r="CL499" s="334">
        <v>0.9</v>
      </c>
      <c r="CN499" s="333">
        <v>90</v>
      </c>
      <c r="CO499" s="334">
        <v>1</v>
      </c>
      <c r="CP499" s="334">
        <v>1</v>
      </c>
      <c r="CQ499" s="335">
        <v>0.98</v>
      </c>
      <c r="CR499" s="334">
        <v>0.94</v>
      </c>
      <c r="CS499" s="334">
        <v>0.9</v>
      </c>
    </row>
    <row r="500" spans="3:97" x14ac:dyDescent="0.25">
      <c r="C500" s="333">
        <v>200</v>
      </c>
      <c r="D500" s="334">
        <v>0.87</v>
      </c>
      <c r="E500" s="334">
        <v>0.82</v>
      </c>
      <c r="F500" s="334">
        <v>0.75</v>
      </c>
      <c r="G500" s="334">
        <v>0.66</v>
      </c>
      <c r="H500" s="334">
        <v>0.56999999999999995</v>
      </c>
      <c r="I500" s="334">
        <v>0.49</v>
      </c>
      <c r="J500" s="334">
        <v>0.41</v>
      </c>
      <c r="K500" s="334">
        <v>0.35</v>
      </c>
      <c r="L500" s="334">
        <v>0.31</v>
      </c>
      <c r="M500" s="334">
        <v>0.28000000000000003</v>
      </c>
      <c r="W500" s="288"/>
      <c r="X500" s="288"/>
      <c r="Y500" s="288"/>
      <c r="Z500" s="288"/>
      <c r="AA500" s="288"/>
    </row>
    <row r="501" spans="3:97" x14ac:dyDescent="0.25">
      <c r="C501" s="333">
        <v>210</v>
      </c>
      <c r="D501" s="334">
        <v>0.87</v>
      </c>
      <c r="E501" s="334">
        <v>0.82</v>
      </c>
      <c r="F501" s="334">
        <v>0.75</v>
      </c>
      <c r="G501" s="334">
        <v>0.68</v>
      </c>
      <c r="H501" s="334">
        <v>0.59</v>
      </c>
      <c r="I501" s="334">
        <v>0.51</v>
      </c>
      <c r="J501" s="334">
        <v>0.44</v>
      </c>
      <c r="K501" s="334">
        <v>0.39</v>
      </c>
      <c r="L501" s="334">
        <v>0.34</v>
      </c>
      <c r="M501" s="334">
        <v>0.31</v>
      </c>
      <c r="W501" s="288"/>
      <c r="X501" s="288"/>
      <c r="Y501" s="288"/>
      <c r="Z501" s="288"/>
      <c r="AA501" s="288"/>
    </row>
    <row r="502" spans="3:97" x14ac:dyDescent="0.25">
      <c r="C502" s="333">
        <v>220</v>
      </c>
      <c r="D502" s="334">
        <v>0.87</v>
      </c>
      <c r="E502" s="334">
        <v>0.83</v>
      </c>
      <c r="F502" s="334">
        <v>0.77</v>
      </c>
      <c r="G502" s="334">
        <v>0.7</v>
      </c>
      <c r="H502" s="334">
        <v>0.62</v>
      </c>
      <c r="I502" s="334">
        <v>0.55000000000000004</v>
      </c>
      <c r="J502" s="334">
        <v>0.49</v>
      </c>
      <c r="K502" s="334">
        <v>0.43</v>
      </c>
      <c r="L502" s="334">
        <v>0.38</v>
      </c>
      <c r="M502" s="334">
        <v>0.34</v>
      </c>
      <c r="W502" s="288"/>
      <c r="X502" s="288"/>
      <c r="Y502" s="288"/>
      <c r="Z502" s="288"/>
      <c r="AA502" s="288"/>
    </row>
    <row r="503" spans="3:97" x14ac:dyDescent="0.25">
      <c r="C503" s="333">
        <v>230</v>
      </c>
      <c r="D503" s="334">
        <v>0.87</v>
      </c>
      <c r="E503" s="334">
        <v>0.84</v>
      </c>
      <c r="F503" s="334">
        <v>0.78</v>
      </c>
      <c r="G503" s="334">
        <v>0.73</v>
      </c>
      <c r="H503" s="334">
        <v>0.66</v>
      </c>
      <c r="I503" s="334">
        <v>0.59</v>
      </c>
      <c r="J503" s="334">
        <v>0.53</v>
      </c>
      <c r="K503" s="334">
        <v>0.48</v>
      </c>
      <c r="L503" s="334">
        <v>0.42</v>
      </c>
      <c r="M503" s="334">
        <v>0.38</v>
      </c>
      <c r="W503" s="288"/>
      <c r="X503" s="288"/>
      <c r="Y503" s="288"/>
      <c r="Z503" s="288"/>
      <c r="AA503" s="288"/>
    </row>
    <row r="504" spans="3:97" x14ac:dyDescent="0.25">
      <c r="C504" s="333">
        <v>240</v>
      </c>
      <c r="D504" s="334">
        <v>0.87</v>
      </c>
      <c r="E504" s="334">
        <v>0.85</v>
      </c>
      <c r="F504" s="334">
        <v>0.8</v>
      </c>
      <c r="G504" s="334">
        <v>0.75</v>
      </c>
      <c r="H504" s="334">
        <v>0.7</v>
      </c>
      <c r="I504" s="334">
        <v>0.64</v>
      </c>
      <c r="J504" s="334">
        <v>0.57999999999999996</v>
      </c>
      <c r="K504" s="334">
        <v>0.52</v>
      </c>
      <c r="L504" s="334">
        <v>0.47</v>
      </c>
      <c r="M504" s="334">
        <v>0.42</v>
      </c>
      <c r="W504" s="288"/>
      <c r="X504" s="288"/>
      <c r="Y504" s="288"/>
      <c r="Z504" s="288"/>
      <c r="AA504" s="288"/>
    </row>
    <row r="505" spans="3:97" x14ac:dyDescent="0.25">
      <c r="C505" s="333">
        <v>250</v>
      </c>
      <c r="D505" s="334">
        <v>0.87</v>
      </c>
      <c r="E505" s="334">
        <v>0.86</v>
      </c>
      <c r="F505" s="334">
        <v>0.83</v>
      </c>
      <c r="G505" s="334">
        <v>0.78</v>
      </c>
      <c r="H505" s="334">
        <v>0.74</v>
      </c>
      <c r="I505" s="334">
        <v>0.68</v>
      </c>
      <c r="J505" s="334">
        <v>0.63</v>
      </c>
      <c r="K505" s="334">
        <v>0.56999999999999995</v>
      </c>
      <c r="L505" s="334">
        <v>0.51</v>
      </c>
      <c r="M505" s="334">
        <v>0.46</v>
      </c>
      <c r="W505" s="288"/>
      <c r="X505" s="288"/>
      <c r="Y505" s="288"/>
      <c r="Z505" s="288"/>
      <c r="AA505" s="288"/>
    </row>
    <row r="506" spans="3:97" x14ac:dyDescent="0.25">
      <c r="C506" s="333">
        <v>260</v>
      </c>
      <c r="D506" s="334">
        <v>0.87</v>
      </c>
      <c r="E506" s="334">
        <v>0.87</v>
      </c>
      <c r="F506" s="334">
        <v>0.85</v>
      </c>
      <c r="G506" s="334">
        <v>0.81</v>
      </c>
      <c r="H506" s="334">
        <v>0.77</v>
      </c>
      <c r="I506" s="334">
        <v>0.73</v>
      </c>
      <c r="J506" s="334">
        <v>0.67</v>
      </c>
      <c r="K506" s="334">
        <v>0.61</v>
      </c>
      <c r="L506" s="334">
        <v>0.55000000000000004</v>
      </c>
      <c r="M506" s="334">
        <v>0.49</v>
      </c>
      <c r="W506" s="288"/>
      <c r="X506" s="288"/>
      <c r="Y506" s="288"/>
      <c r="Z506" s="288"/>
      <c r="AA506" s="288"/>
    </row>
    <row r="507" spans="3:97" x14ac:dyDescent="0.25">
      <c r="C507" s="333">
        <v>270</v>
      </c>
      <c r="D507" s="334">
        <v>0.87</v>
      </c>
      <c r="E507" s="334">
        <v>0.88</v>
      </c>
      <c r="F507" s="334">
        <v>0.87</v>
      </c>
      <c r="G507" s="334">
        <v>0.84</v>
      </c>
      <c r="H507" s="334">
        <v>0.81</v>
      </c>
      <c r="I507" s="334">
        <v>0.76</v>
      </c>
      <c r="J507" s="334">
        <v>0.72</v>
      </c>
      <c r="K507" s="334">
        <v>0.66</v>
      </c>
      <c r="L507" s="334">
        <v>0.59</v>
      </c>
      <c r="M507" s="334">
        <v>0.53</v>
      </c>
      <c r="W507" s="288"/>
      <c r="X507" s="288"/>
      <c r="Y507" s="288"/>
      <c r="Z507" s="288"/>
      <c r="AA507" s="288"/>
    </row>
    <row r="508" spans="3:97" x14ac:dyDescent="0.25">
      <c r="C508" s="333">
        <v>280</v>
      </c>
      <c r="D508" s="334">
        <v>0.87</v>
      </c>
      <c r="E508" s="334">
        <v>0.89</v>
      </c>
      <c r="F508" s="334">
        <v>0.89</v>
      </c>
      <c r="G508" s="334">
        <v>0.87</v>
      </c>
      <c r="H508" s="334">
        <v>0.85</v>
      </c>
      <c r="I508" s="334">
        <v>0.8</v>
      </c>
      <c r="J508" s="334">
        <v>0.75</v>
      </c>
      <c r="K508" s="334">
        <v>0.7</v>
      </c>
      <c r="L508" s="334">
        <v>0.63</v>
      </c>
      <c r="M508" s="334">
        <v>0.56000000000000005</v>
      </c>
      <c r="W508" s="288"/>
      <c r="X508" s="288"/>
      <c r="Y508" s="288"/>
      <c r="Z508" s="288"/>
      <c r="AA508" s="288"/>
    </row>
    <row r="509" spans="3:97" x14ac:dyDescent="0.25">
      <c r="C509" s="333">
        <v>290</v>
      </c>
      <c r="D509" s="334">
        <v>0.87</v>
      </c>
      <c r="E509" s="334">
        <v>0.9</v>
      </c>
      <c r="F509" s="334">
        <v>0.91</v>
      </c>
      <c r="G509" s="334">
        <v>0.9</v>
      </c>
      <c r="H509" s="334">
        <v>0.88</v>
      </c>
      <c r="I509" s="334">
        <v>0.84</v>
      </c>
      <c r="J509" s="334">
        <v>0.79</v>
      </c>
      <c r="K509" s="334">
        <v>0.73</v>
      </c>
      <c r="L509" s="334">
        <v>0.66</v>
      </c>
      <c r="M509" s="334">
        <v>0.59</v>
      </c>
      <c r="W509" s="288"/>
      <c r="X509" s="288"/>
      <c r="Y509" s="288"/>
      <c r="Z509" s="288"/>
      <c r="AA509" s="288"/>
    </row>
    <row r="510" spans="3:97" x14ac:dyDescent="0.25">
      <c r="C510" s="333">
        <v>300</v>
      </c>
      <c r="D510" s="334">
        <v>0.87</v>
      </c>
      <c r="E510" s="334">
        <v>0.91</v>
      </c>
      <c r="F510" s="334">
        <v>0.93</v>
      </c>
      <c r="G510" s="334">
        <v>0.93</v>
      </c>
      <c r="H510" s="334">
        <v>0.91</v>
      </c>
      <c r="I510" s="334">
        <v>0.87</v>
      </c>
      <c r="J510" s="334">
        <v>0.82</v>
      </c>
      <c r="K510" s="334">
        <v>0.76</v>
      </c>
      <c r="L510" s="334">
        <v>0.69</v>
      </c>
      <c r="M510" s="334">
        <v>0.61</v>
      </c>
      <c r="W510" s="288"/>
      <c r="X510" s="288"/>
      <c r="Y510" s="288"/>
      <c r="Z510" s="288"/>
      <c r="AA510" s="288"/>
    </row>
    <row r="511" spans="3:97" x14ac:dyDescent="0.25">
      <c r="C511" s="333">
        <v>310</v>
      </c>
      <c r="D511" s="334">
        <v>0.87</v>
      </c>
      <c r="E511" s="334">
        <v>0.92</v>
      </c>
      <c r="F511" s="334">
        <v>0.95</v>
      </c>
      <c r="G511" s="334">
        <v>0.95</v>
      </c>
      <c r="H511" s="334">
        <v>0.94</v>
      </c>
      <c r="I511" s="334">
        <v>0.9</v>
      </c>
      <c r="J511" s="334">
        <v>0.85</v>
      </c>
      <c r="K511" s="334">
        <v>0.79</v>
      </c>
      <c r="L511" s="334">
        <v>0.71</v>
      </c>
      <c r="M511" s="334">
        <v>0.62</v>
      </c>
      <c r="W511" s="288"/>
      <c r="X511" s="288"/>
      <c r="Y511" s="288"/>
      <c r="Z511" s="288"/>
      <c r="AA511" s="288"/>
    </row>
    <row r="512" spans="3:97" x14ac:dyDescent="0.25">
      <c r="C512" s="333">
        <v>320</v>
      </c>
      <c r="D512" s="334">
        <v>0.87</v>
      </c>
      <c r="E512" s="334">
        <v>0.93</v>
      </c>
      <c r="F512" s="334">
        <v>0.96</v>
      </c>
      <c r="G512" s="334">
        <v>0.97</v>
      </c>
      <c r="H512" s="334">
        <v>0.96</v>
      </c>
      <c r="I512" s="334">
        <v>0.93</v>
      </c>
      <c r="J512" s="334">
        <v>0.88</v>
      </c>
      <c r="K512" s="334">
        <v>0.81</v>
      </c>
      <c r="L512" s="334">
        <v>0.73</v>
      </c>
      <c r="M512" s="334">
        <v>0.64</v>
      </c>
      <c r="W512" s="288"/>
      <c r="X512" s="288"/>
      <c r="Y512" s="288"/>
      <c r="Z512" s="288"/>
      <c r="AA512" s="288"/>
    </row>
    <row r="513" spans="3:97" x14ac:dyDescent="0.25">
      <c r="C513" s="333">
        <v>330</v>
      </c>
      <c r="D513" s="334">
        <v>0.87</v>
      </c>
      <c r="E513" s="334">
        <v>0.93</v>
      </c>
      <c r="F513" s="334">
        <v>0.97</v>
      </c>
      <c r="G513" s="334">
        <v>0.98</v>
      </c>
      <c r="H513" s="334">
        <v>0.98</v>
      </c>
      <c r="I513" s="334">
        <v>0.94</v>
      </c>
      <c r="J513" s="334">
        <v>0.89</v>
      </c>
      <c r="K513" s="334">
        <v>0.82</v>
      </c>
      <c r="L513" s="334">
        <v>0.74</v>
      </c>
      <c r="M513" s="334">
        <v>0.64</v>
      </c>
      <c r="W513" s="288"/>
      <c r="X513" s="288"/>
      <c r="Y513" s="288"/>
      <c r="Z513" s="288"/>
      <c r="AA513" s="288"/>
    </row>
    <row r="514" spans="3:97" x14ac:dyDescent="0.25">
      <c r="C514" s="333">
        <v>340</v>
      </c>
      <c r="D514" s="334">
        <v>0.87</v>
      </c>
      <c r="E514" s="334">
        <v>0.94</v>
      </c>
      <c r="F514" s="334">
        <v>0.98</v>
      </c>
      <c r="G514" s="334">
        <v>1</v>
      </c>
      <c r="H514" s="334">
        <v>0.99</v>
      </c>
      <c r="I514" s="334">
        <v>0.96</v>
      </c>
      <c r="J514" s="334">
        <v>0.9</v>
      </c>
      <c r="K514" s="334">
        <v>0.83</v>
      </c>
      <c r="L514" s="334">
        <v>0.74</v>
      </c>
      <c r="M514" s="334">
        <v>0.64</v>
      </c>
      <c r="W514" s="288"/>
      <c r="X514" s="288"/>
      <c r="Y514" s="288"/>
      <c r="Z514" s="288"/>
      <c r="AA514" s="288"/>
    </row>
    <row r="515" spans="3:97" x14ac:dyDescent="0.25">
      <c r="C515" s="333">
        <v>350</v>
      </c>
      <c r="D515" s="334">
        <v>0.87</v>
      </c>
      <c r="E515" s="334">
        <v>0.94</v>
      </c>
      <c r="F515" s="334">
        <v>0.98</v>
      </c>
      <c r="G515" s="334">
        <v>1</v>
      </c>
      <c r="H515" s="334">
        <v>0.99</v>
      </c>
      <c r="I515" s="334">
        <v>0.96</v>
      </c>
      <c r="J515" s="334">
        <v>0.91</v>
      </c>
      <c r="K515" s="334">
        <v>0.83</v>
      </c>
      <c r="L515" s="334">
        <v>0.74</v>
      </c>
      <c r="M515" s="334">
        <v>0.64</v>
      </c>
      <c r="W515" s="288"/>
      <c r="X515" s="288"/>
      <c r="Y515" s="288"/>
      <c r="Z515" s="288"/>
      <c r="AA515" s="288"/>
    </row>
    <row r="516" spans="3:97" x14ac:dyDescent="0.25">
      <c r="F516" s="260"/>
      <c r="W516" s="288"/>
      <c r="X516" s="288"/>
      <c r="Y516" s="288"/>
      <c r="Z516" s="288"/>
      <c r="AA516" s="288"/>
    </row>
    <row r="517" spans="3:97" x14ac:dyDescent="0.25">
      <c r="F517" s="260"/>
      <c r="W517" s="288"/>
      <c r="X517" s="288"/>
      <c r="Y517" s="288"/>
      <c r="Z517" s="288"/>
      <c r="AA517" s="288"/>
    </row>
    <row r="518" spans="3:97" x14ac:dyDescent="0.25">
      <c r="C518" s="415" t="s">
        <v>229</v>
      </c>
      <c r="D518" s="415"/>
      <c r="E518" s="415"/>
      <c r="F518" s="415"/>
      <c r="G518" s="415"/>
      <c r="H518" s="415"/>
      <c r="I518" s="415"/>
      <c r="J518" s="415"/>
      <c r="K518" s="415"/>
      <c r="L518" s="415"/>
      <c r="M518" s="415"/>
      <c r="O518" s="279" t="s">
        <v>462</v>
      </c>
      <c r="W518" s="288"/>
      <c r="X518" s="288"/>
      <c r="Y518" s="288"/>
      <c r="Z518" s="288"/>
      <c r="AA518" s="288"/>
    </row>
    <row r="519" spans="3:97" ht="15.75" customHeight="1" x14ac:dyDescent="0.25">
      <c r="C519" s="416" t="s">
        <v>221</v>
      </c>
      <c r="D519" s="416" t="s">
        <v>222</v>
      </c>
      <c r="E519" s="416"/>
      <c r="F519" s="416"/>
      <c r="G519" s="416"/>
      <c r="H519" s="416"/>
      <c r="I519" s="416"/>
      <c r="J519" s="416"/>
      <c r="K519" s="416"/>
      <c r="L519" s="416"/>
      <c r="M519" s="416"/>
      <c r="O519" s="415" t="str">
        <f>O518&amp;" - Janurary"</f>
        <v>Alice Springs - Janurary</v>
      </c>
      <c r="P519" s="415"/>
      <c r="Q519" s="415"/>
      <c r="R519" s="415"/>
      <c r="S519" s="415"/>
      <c r="T519" s="415"/>
      <c r="V519" s="415" t="str">
        <f>O518&amp;" - February"</f>
        <v>Alice Springs - February</v>
      </c>
      <c r="W519" s="415"/>
      <c r="X519" s="415"/>
      <c r="Y519" s="415"/>
      <c r="Z519" s="415"/>
      <c r="AA519" s="415"/>
      <c r="AC519" s="415" t="str">
        <f>O518&amp;" - March"</f>
        <v>Alice Springs - March</v>
      </c>
      <c r="AD519" s="415"/>
      <c r="AE519" s="415"/>
      <c r="AF519" s="415"/>
      <c r="AG519" s="415"/>
      <c r="AH519" s="415"/>
      <c r="AJ519" s="415" t="str">
        <f>O518&amp;" - April"</f>
        <v>Alice Springs - April</v>
      </c>
      <c r="AK519" s="415"/>
      <c r="AL519" s="415"/>
      <c r="AM519" s="415"/>
      <c r="AN519" s="415"/>
      <c r="AO519" s="415"/>
      <c r="AQ519" s="415" t="str">
        <f>O518&amp;" - May"</f>
        <v>Alice Springs - May</v>
      </c>
      <c r="AR519" s="415"/>
      <c r="AS519" s="415"/>
      <c r="AT519" s="415"/>
      <c r="AU519" s="415"/>
      <c r="AV519" s="415"/>
      <c r="AX519" s="415" t="str">
        <f>O518&amp;" - June"</f>
        <v>Alice Springs - June</v>
      </c>
      <c r="AY519" s="415"/>
      <c r="AZ519" s="415"/>
      <c r="BA519" s="415"/>
      <c r="BB519" s="415"/>
      <c r="BC519" s="415"/>
      <c r="BE519" s="415" t="str">
        <f>O518&amp;" - July"</f>
        <v>Alice Springs - July</v>
      </c>
      <c r="BF519" s="415"/>
      <c r="BG519" s="415"/>
      <c r="BH519" s="415"/>
      <c r="BI519" s="415"/>
      <c r="BJ519" s="415"/>
      <c r="BL519" s="415" t="str">
        <f>O518&amp;" - August"</f>
        <v>Alice Springs - August</v>
      </c>
      <c r="BM519" s="415"/>
      <c r="BN519" s="415"/>
      <c r="BO519" s="415"/>
      <c r="BP519" s="415"/>
      <c r="BQ519" s="415"/>
      <c r="BS519" s="415" t="str">
        <f>O518&amp;" - September"</f>
        <v>Alice Springs - September</v>
      </c>
      <c r="BT519" s="415"/>
      <c r="BU519" s="415"/>
      <c r="BV519" s="415"/>
      <c r="BW519" s="415"/>
      <c r="BX519" s="415"/>
      <c r="BZ519" s="415" t="str">
        <f>O518&amp;" - October"</f>
        <v>Alice Springs - October</v>
      </c>
      <c r="CA519" s="415"/>
      <c r="CB519" s="415"/>
      <c r="CC519" s="415"/>
      <c r="CD519" s="415"/>
      <c r="CE519" s="415"/>
      <c r="CG519" s="415" t="str">
        <f>O518&amp;" - November"</f>
        <v>Alice Springs - November</v>
      </c>
      <c r="CH519" s="415"/>
      <c r="CI519" s="415"/>
      <c r="CJ519" s="415"/>
      <c r="CK519" s="415"/>
      <c r="CL519" s="415"/>
      <c r="CN519" s="415" t="str">
        <f>O518&amp;" - December"</f>
        <v>Alice Springs - December</v>
      </c>
      <c r="CO519" s="415"/>
      <c r="CP519" s="415"/>
      <c r="CQ519" s="415"/>
      <c r="CR519" s="415"/>
      <c r="CS519" s="415"/>
    </row>
    <row r="520" spans="3:97" ht="15.75" customHeight="1" x14ac:dyDescent="0.25">
      <c r="C520" s="416"/>
      <c r="D520" s="333">
        <v>0</v>
      </c>
      <c r="E520" s="333">
        <v>10</v>
      </c>
      <c r="F520" s="333">
        <v>20</v>
      </c>
      <c r="G520" s="333">
        <v>30</v>
      </c>
      <c r="H520" s="333">
        <v>40</v>
      </c>
      <c r="I520" s="333">
        <v>50</v>
      </c>
      <c r="J520" s="333">
        <v>60</v>
      </c>
      <c r="K520" s="333">
        <v>70</v>
      </c>
      <c r="L520" s="333">
        <v>80</v>
      </c>
      <c r="M520" s="333">
        <v>90</v>
      </c>
      <c r="O520" s="416" t="s">
        <v>221</v>
      </c>
      <c r="P520" s="416" t="s">
        <v>222</v>
      </c>
      <c r="Q520" s="416"/>
      <c r="R520" s="416"/>
      <c r="S520" s="416"/>
      <c r="T520" s="416"/>
      <c r="V520" s="416" t="s">
        <v>221</v>
      </c>
      <c r="W520" s="416" t="s">
        <v>222</v>
      </c>
      <c r="X520" s="416"/>
      <c r="Y520" s="416"/>
      <c r="Z520" s="416"/>
      <c r="AA520" s="416"/>
      <c r="AC520" s="416" t="s">
        <v>221</v>
      </c>
      <c r="AD520" s="416" t="s">
        <v>222</v>
      </c>
      <c r="AE520" s="416"/>
      <c r="AF520" s="416"/>
      <c r="AG520" s="416"/>
      <c r="AH520" s="416"/>
      <c r="AJ520" s="416" t="s">
        <v>221</v>
      </c>
      <c r="AK520" s="416" t="s">
        <v>222</v>
      </c>
      <c r="AL520" s="416"/>
      <c r="AM520" s="416"/>
      <c r="AN520" s="416"/>
      <c r="AO520" s="416"/>
      <c r="AQ520" s="416" t="s">
        <v>221</v>
      </c>
      <c r="AR520" s="416" t="s">
        <v>222</v>
      </c>
      <c r="AS520" s="416"/>
      <c r="AT520" s="416"/>
      <c r="AU520" s="416"/>
      <c r="AV520" s="416"/>
      <c r="AX520" s="416" t="s">
        <v>221</v>
      </c>
      <c r="AY520" s="416" t="s">
        <v>222</v>
      </c>
      <c r="AZ520" s="416"/>
      <c r="BA520" s="416"/>
      <c r="BB520" s="416"/>
      <c r="BC520" s="416"/>
      <c r="BE520" s="416" t="s">
        <v>221</v>
      </c>
      <c r="BF520" s="416" t="s">
        <v>222</v>
      </c>
      <c r="BG520" s="416"/>
      <c r="BH520" s="416"/>
      <c r="BI520" s="416"/>
      <c r="BJ520" s="416"/>
      <c r="BL520" s="416" t="s">
        <v>221</v>
      </c>
      <c r="BM520" s="416" t="s">
        <v>222</v>
      </c>
      <c r="BN520" s="416"/>
      <c r="BO520" s="416"/>
      <c r="BP520" s="416"/>
      <c r="BQ520" s="416"/>
      <c r="BS520" s="416" t="s">
        <v>221</v>
      </c>
      <c r="BT520" s="416" t="s">
        <v>222</v>
      </c>
      <c r="BU520" s="416"/>
      <c r="BV520" s="416"/>
      <c r="BW520" s="416"/>
      <c r="BX520" s="416"/>
      <c r="BZ520" s="416" t="s">
        <v>221</v>
      </c>
      <c r="CA520" s="416" t="s">
        <v>222</v>
      </c>
      <c r="CB520" s="416"/>
      <c r="CC520" s="416"/>
      <c r="CD520" s="416"/>
      <c r="CE520" s="416"/>
      <c r="CG520" s="416" t="s">
        <v>221</v>
      </c>
      <c r="CH520" s="416" t="s">
        <v>222</v>
      </c>
      <c r="CI520" s="416"/>
      <c r="CJ520" s="416"/>
      <c r="CK520" s="416"/>
      <c r="CL520" s="416"/>
      <c r="CN520" s="416" t="s">
        <v>221</v>
      </c>
      <c r="CO520" s="416" t="s">
        <v>222</v>
      </c>
      <c r="CP520" s="416"/>
      <c r="CQ520" s="416"/>
      <c r="CR520" s="416"/>
      <c r="CS520" s="416"/>
    </row>
    <row r="521" spans="3:97" x14ac:dyDescent="0.25">
      <c r="C521" s="333">
        <v>0</v>
      </c>
      <c r="D521" s="334">
        <v>0.9</v>
      </c>
      <c r="E521" s="334">
        <v>0.96</v>
      </c>
      <c r="F521" s="334">
        <v>0.99</v>
      </c>
      <c r="G521" s="335">
        <v>1</v>
      </c>
      <c r="H521" s="334">
        <v>0.98</v>
      </c>
      <c r="I521" s="334">
        <v>0.94</v>
      </c>
      <c r="J521" s="334">
        <v>0.87</v>
      </c>
      <c r="K521" s="334">
        <v>0.78</v>
      </c>
      <c r="L521" s="334">
        <v>0.68</v>
      </c>
      <c r="M521" s="334">
        <v>0.56999999999999995</v>
      </c>
      <c r="O521" s="416"/>
      <c r="P521" s="333">
        <v>0</v>
      </c>
      <c r="Q521" s="333">
        <v>10</v>
      </c>
      <c r="R521" s="333">
        <v>20</v>
      </c>
      <c r="S521" s="333">
        <v>30</v>
      </c>
      <c r="T521" s="333">
        <v>40</v>
      </c>
      <c r="V521" s="416"/>
      <c r="W521" s="333">
        <v>0</v>
      </c>
      <c r="X521" s="333">
        <v>10</v>
      </c>
      <c r="Y521" s="333">
        <v>20</v>
      </c>
      <c r="Z521" s="333">
        <v>30</v>
      </c>
      <c r="AA521" s="333">
        <v>40</v>
      </c>
      <c r="AC521" s="416"/>
      <c r="AD521" s="333">
        <v>0</v>
      </c>
      <c r="AE521" s="333">
        <v>10</v>
      </c>
      <c r="AF521" s="333">
        <v>20</v>
      </c>
      <c r="AG521" s="333">
        <v>30</v>
      </c>
      <c r="AH521" s="333">
        <v>40</v>
      </c>
      <c r="AJ521" s="416"/>
      <c r="AK521" s="333">
        <v>0</v>
      </c>
      <c r="AL521" s="333">
        <v>10</v>
      </c>
      <c r="AM521" s="333">
        <v>20</v>
      </c>
      <c r="AN521" s="333">
        <v>30</v>
      </c>
      <c r="AO521" s="333">
        <v>40</v>
      </c>
      <c r="AQ521" s="416"/>
      <c r="AR521" s="333">
        <v>0</v>
      </c>
      <c r="AS521" s="333">
        <v>10</v>
      </c>
      <c r="AT521" s="333">
        <v>20</v>
      </c>
      <c r="AU521" s="333">
        <v>30</v>
      </c>
      <c r="AV521" s="333">
        <v>40</v>
      </c>
      <c r="AX521" s="416"/>
      <c r="AY521" s="333">
        <v>0</v>
      </c>
      <c r="AZ521" s="333">
        <v>10</v>
      </c>
      <c r="BA521" s="333">
        <v>20</v>
      </c>
      <c r="BB521" s="333">
        <v>30</v>
      </c>
      <c r="BC521" s="333">
        <v>40</v>
      </c>
      <c r="BE521" s="416"/>
      <c r="BF521" s="333">
        <v>0</v>
      </c>
      <c r="BG521" s="333">
        <v>10</v>
      </c>
      <c r="BH521" s="333">
        <v>20</v>
      </c>
      <c r="BI521" s="333">
        <v>30</v>
      </c>
      <c r="BJ521" s="333">
        <v>40</v>
      </c>
      <c r="BL521" s="416"/>
      <c r="BM521" s="333">
        <v>0</v>
      </c>
      <c r="BN521" s="333">
        <v>10</v>
      </c>
      <c r="BO521" s="333">
        <v>20</v>
      </c>
      <c r="BP521" s="333">
        <v>30</v>
      </c>
      <c r="BQ521" s="333">
        <v>40</v>
      </c>
      <c r="BS521" s="416"/>
      <c r="BT521" s="333">
        <v>0</v>
      </c>
      <c r="BU521" s="333">
        <v>10</v>
      </c>
      <c r="BV521" s="333">
        <v>20</v>
      </c>
      <c r="BW521" s="333">
        <v>30</v>
      </c>
      <c r="BX521" s="333">
        <v>40</v>
      </c>
      <c r="BZ521" s="416"/>
      <c r="CA521" s="333">
        <v>0</v>
      </c>
      <c r="CB521" s="333">
        <v>10</v>
      </c>
      <c r="CC521" s="333">
        <v>20</v>
      </c>
      <c r="CD521" s="333">
        <v>30</v>
      </c>
      <c r="CE521" s="333">
        <v>40</v>
      </c>
      <c r="CG521" s="416"/>
      <c r="CH521" s="333">
        <v>0</v>
      </c>
      <c r="CI521" s="333">
        <v>10</v>
      </c>
      <c r="CJ521" s="333">
        <v>20</v>
      </c>
      <c r="CK521" s="333">
        <v>30</v>
      </c>
      <c r="CL521" s="333">
        <v>40</v>
      </c>
      <c r="CN521" s="416"/>
      <c r="CO521" s="333">
        <v>0</v>
      </c>
      <c r="CP521" s="333">
        <v>10</v>
      </c>
      <c r="CQ521" s="333">
        <v>20</v>
      </c>
      <c r="CR521" s="333">
        <v>30</v>
      </c>
      <c r="CS521" s="333">
        <v>40</v>
      </c>
    </row>
    <row r="522" spans="3:97" x14ac:dyDescent="0.25">
      <c r="C522" s="333">
        <v>10</v>
      </c>
      <c r="D522" s="334">
        <v>0.9</v>
      </c>
      <c r="E522" s="334">
        <v>0.96</v>
      </c>
      <c r="F522" s="334">
        <v>0.99</v>
      </c>
      <c r="G522" s="335">
        <v>1</v>
      </c>
      <c r="H522" s="334">
        <v>0.98</v>
      </c>
      <c r="I522" s="334">
        <v>0.94</v>
      </c>
      <c r="J522" s="334">
        <v>0.87</v>
      </c>
      <c r="K522" s="334">
        <v>0.79</v>
      </c>
      <c r="L522" s="334">
        <v>0.69</v>
      </c>
      <c r="M522" s="334">
        <v>0.56999999999999995</v>
      </c>
      <c r="O522" s="333">
        <v>270</v>
      </c>
      <c r="P522" s="334">
        <v>1</v>
      </c>
      <c r="Q522" s="334">
        <v>0.99</v>
      </c>
      <c r="R522" s="334">
        <v>0.97</v>
      </c>
      <c r="S522" s="334">
        <v>0.93</v>
      </c>
      <c r="T522" s="334">
        <v>0.88</v>
      </c>
      <c r="V522" s="333">
        <v>270</v>
      </c>
      <c r="W522" s="334">
        <v>1</v>
      </c>
      <c r="X522" s="334">
        <v>1</v>
      </c>
      <c r="Y522" s="334">
        <v>0.98</v>
      </c>
      <c r="Z522" s="334">
        <v>0.94</v>
      </c>
      <c r="AA522" s="334">
        <v>0.9</v>
      </c>
      <c r="AC522" s="333">
        <v>270</v>
      </c>
      <c r="AD522" s="334">
        <v>1</v>
      </c>
      <c r="AE522" s="334">
        <v>1</v>
      </c>
      <c r="AF522" s="334">
        <v>0.99</v>
      </c>
      <c r="AG522" s="334">
        <v>0.96</v>
      </c>
      <c r="AH522" s="334">
        <v>0.92</v>
      </c>
      <c r="AJ522" s="333">
        <v>270</v>
      </c>
      <c r="AK522" s="334">
        <v>1</v>
      </c>
      <c r="AL522" s="334">
        <v>1</v>
      </c>
      <c r="AM522" s="334">
        <v>0.99</v>
      </c>
      <c r="AN522" s="334">
        <v>0.97</v>
      </c>
      <c r="AO522" s="334">
        <v>0.93</v>
      </c>
      <c r="AQ522" s="333">
        <v>270</v>
      </c>
      <c r="AR522" s="334">
        <v>1</v>
      </c>
      <c r="AS522" s="334">
        <v>1.01</v>
      </c>
      <c r="AT522" s="334">
        <v>1</v>
      </c>
      <c r="AU522" s="334">
        <v>0.98</v>
      </c>
      <c r="AV522" s="334">
        <v>0.95</v>
      </c>
      <c r="AX522" s="333">
        <v>270</v>
      </c>
      <c r="AY522" s="334">
        <v>1</v>
      </c>
      <c r="AZ522" s="334">
        <v>1.01</v>
      </c>
      <c r="BA522" s="334">
        <v>1.01</v>
      </c>
      <c r="BB522" s="334">
        <v>0.99</v>
      </c>
      <c r="BC522" s="334">
        <v>0.96</v>
      </c>
      <c r="BE522" s="333">
        <v>270</v>
      </c>
      <c r="BF522" s="334">
        <v>1</v>
      </c>
      <c r="BG522" s="334">
        <v>1.01</v>
      </c>
      <c r="BH522" s="334">
        <v>1.01</v>
      </c>
      <c r="BI522" s="334">
        <v>0.99</v>
      </c>
      <c r="BJ522" s="334">
        <v>0.96</v>
      </c>
      <c r="BL522" s="333">
        <v>270</v>
      </c>
      <c r="BM522" s="334">
        <v>1</v>
      </c>
      <c r="BN522" s="334">
        <v>1.01</v>
      </c>
      <c r="BO522" s="334">
        <v>1</v>
      </c>
      <c r="BP522" s="334">
        <v>0.98</v>
      </c>
      <c r="BQ522" s="334">
        <v>0.95</v>
      </c>
      <c r="BS522" s="333">
        <v>270</v>
      </c>
      <c r="BT522" s="334">
        <v>1</v>
      </c>
      <c r="BU522" s="334">
        <v>1</v>
      </c>
      <c r="BV522" s="334">
        <v>0.99</v>
      </c>
      <c r="BW522" s="334">
        <v>0.97</v>
      </c>
      <c r="BX522" s="334">
        <v>0.93</v>
      </c>
      <c r="BZ522" s="333">
        <v>270</v>
      </c>
      <c r="CA522" s="334">
        <v>1</v>
      </c>
      <c r="CB522" s="334">
        <v>1</v>
      </c>
      <c r="CC522" s="334">
        <v>0.98</v>
      </c>
      <c r="CD522" s="334">
        <v>0.95</v>
      </c>
      <c r="CE522" s="334">
        <v>0.91</v>
      </c>
      <c r="CG522" s="333">
        <v>270</v>
      </c>
      <c r="CH522" s="334">
        <v>1</v>
      </c>
      <c r="CI522" s="334">
        <v>1</v>
      </c>
      <c r="CJ522" s="334">
        <v>0.98</v>
      </c>
      <c r="CK522" s="334">
        <v>0.94</v>
      </c>
      <c r="CL522" s="334">
        <v>0.89</v>
      </c>
      <c r="CN522" s="333">
        <v>270</v>
      </c>
      <c r="CO522" s="334">
        <v>1</v>
      </c>
      <c r="CP522" s="334">
        <v>1</v>
      </c>
      <c r="CQ522" s="334">
        <v>0.97</v>
      </c>
      <c r="CR522" s="334">
        <v>0.94</v>
      </c>
      <c r="CS522" s="334">
        <v>0.89</v>
      </c>
    </row>
    <row r="523" spans="3:97" x14ac:dyDescent="0.25">
      <c r="C523" s="333">
        <v>20</v>
      </c>
      <c r="D523" s="334">
        <v>0.9</v>
      </c>
      <c r="E523" s="334">
        <v>0.96</v>
      </c>
      <c r="F523" s="334">
        <v>0.99</v>
      </c>
      <c r="G523" s="335">
        <v>1</v>
      </c>
      <c r="H523" s="334">
        <v>0.98</v>
      </c>
      <c r="I523" s="334">
        <v>0.93</v>
      </c>
      <c r="J523" s="334">
        <v>0.87</v>
      </c>
      <c r="K523" s="334">
        <v>0.79</v>
      </c>
      <c r="L523" s="334">
        <v>0.69</v>
      </c>
      <c r="M523" s="334">
        <v>0.57999999999999996</v>
      </c>
      <c r="O523" s="333">
        <v>280</v>
      </c>
      <c r="P523" s="334">
        <v>1</v>
      </c>
      <c r="Q523" s="334">
        <v>0.99</v>
      </c>
      <c r="R523" s="334">
        <v>0.97</v>
      </c>
      <c r="S523" s="334">
        <v>0.93</v>
      </c>
      <c r="T523" s="334">
        <v>0.88</v>
      </c>
      <c r="V523" s="333">
        <v>280</v>
      </c>
      <c r="W523" s="334">
        <v>1</v>
      </c>
      <c r="X523" s="334">
        <v>1</v>
      </c>
      <c r="Y523" s="334">
        <v>0.98</v>
      </c>
      <c r="Z523" s="334">
        <v>0.95</v>
      </c>
      <c r="AA523" s="334">
        <v>0.91</v>
      </c>
      <c r="AC523" s="333">
        <v>280</v>
      </c>
      <c r="AD523" s="334">
        <v>1</v>
      </c>
      <c r="AE523" s="334">
        <v>1.01</v>
      </c>
      <c r="AF523" s="334">
        <v>1.01</v>
      </c>
      <c r="AG523" s="334">
        <v>0.99</v>
      </c>
      <c r="AH523" s="334">
        <v>0.96</v>
      </c>
      <c r="AJ523" s="333">
        <v>280</v>
      </c>
      <c r="AK523" s="334">
        <v>1</v>
      </c>
      <c r="AL523" s="334">
        <v>1.02</v>
      </c>
      <c r="AM523" s="334">
        <v>1.03</v>
      </c>
      <c r="AN523" s="334">
        <v>1.02</v>
      </c>
      <c r="AO523" s="334">
        <v>1</v>
      </c>
      <c r="AQ523" s="333">
        <v>280</v>
      </c>
      <c r="AR523" s="334">
        <v>1</v>
      </c>
      <c r="AS523" s="334">
        <v>1.03</v>
      </c>
      <c r="AT523" s="334">
        <v>1.05</v>
      </c>
      <c r="AU523" s="334">
        <v>1.05</v>
      </c>
      <c r="AV523" s="334">
        <v>1.04</v>
      </c>
      <c r="AX523" s="333">
        <v>280</v>
      </c>
      <c r="AY523" s="334">
        <v>1</v>
      </c>
      <c r="AZ523" s="334">
        <v>1.04</v>
      </c>
      <c r="BA523" s="334">
        <v>1.07</v>
      </c>
      <c r="BB523" s="334">
        <v>1.07</v>
      </c>
      <c r="BC523" s="334">
        <v>1.06</v>
      </c>
      <c r="BE523" s="333">
        <v>280</v>
      </c>
      <c r="BF523" s="334">
        <v>1</v>
      </c>
      <c r="BG523" s="334">
        <v>1.04</v>
      </c>
      <c r="BH523" s="334">
        <v>1.06</v>
      </c>
      <c r="BI523" s="334">
        <v>1.07</v>
      </c>
      <c r="BJ523" s="334">
        <v>1.05</v>
      </c>
      <c r="BL523" s="333">
        <v>280</v>
      </c>
      <c r="BM523" s="334">
        <v>1</v>
      </c>
      <c r="BN523" s="334">
        <v>1.03</v>
      </c>
      <c r="BO523" s="334">
        <v>1.05</v>
      </c>
      <c r="BP523" s="334">
        <v>1.04</v>
      </c>
      <c r="BQ523" s="334">
        <v>1.02</v>
      </c>
      <c r="BS523" s="333">
        <v>280</v>
      </c>
      <c r="BT523" s="334">
        <v>1</v>
      </c>
      <c r="BU523" s="334">
        <v>1.02</v>
      </c>
      <c r="BV523" s="334">
        <v>1.02</v>
      </c>
      <c r="BW523" s="334">
        <v>1</v>
      </c>
      <c r="BX523" s="334">
        <v>0.97</v>
      </c>
      <c r="BZ523" s="333">
        <v>280</v>
      </c>
      <c r="CA523" s="334">
        <v>1</v>
      </c>
      <c r="CB523" s="334">
        <v>1</v>
      </c>
      <c r="CC523" s="334">
        <v>1</v>
      </c>
      <c r="CD523" s="334">
        <v>0.97</v>
      </c>
      <c r="CE523" s="334">
        <v>0.92</v>
      </c>
      <c r="CG523" s="333">
        <v>280</v>
      </c>
      <c r="CH523" s="334">
        <v>1</v>
      </c>
      <c r="CI523" s="334">
        <v>1</v>
      </c>
      <c r="CJ523" s="334">
        <v>0.98</v>
      </c>
      <c r="CK523" s="334">
        <v>0.94</v>
      </c>
      <c r="CL523" s="334">
        <v>0.89</v>
      </c>
      <c r="CN523" s="333">
        <v>280</v>
      </c>
      <c r="CO523" s="334">
        <v>1</v>
      </c>
      <c r="CP523" s="334">
        <v>1</v>
      </c>
      <c r="CQ523" s="334">
        <v>0.97</v>
      </c>
      <c r="CR523" s="334">
        <v>0.93</v>
      </c>
      <c r="CS523" s="334">
        <v>0.88</v>
      </c>
    </row>
    <row r="524" spans="3:97" x14ac:dyDescent="0.25">
      <c r="C524" s="333">
        <v>30</v>
      </c>
      <c r="D524" s="334">
        <v>0.9</v>
      </c>
      <c r="E524" s="334">
        <v>0.96</v>
      </c>
      <c r="F524" s="334">
        <v>0.98</v>
      </c>
      <c r="G524" s="335">
        <v>0.99</v>
      </c>
      <c r="H524" s="334">
        <v>0.97</v>
      </c>
      <c r="I524" s="334">
        <v>0.93</v>
      </c>
      <c r="J524" s="334">
        <v>0.87</v>
      </c>
      <c r="K524" s="334">
        <v>0.78</v>
      </c>
      <c r="L524" s="334">
        <v>0.69</v>
      </c>
      <c r="M524" s="334">
        <v>0.59</v>
      </c>
      <c r="O524" s="333">
        <v>290</v>
      </c>
      <c r="P524" s="334">
        <v>1</v>
      </c>
      <c r="Q524" s="334">
        <v>0.99</v>
      </c>
      <c r="R524" s="334">
        <v>0.96</v>
      </c>
      <c r="S524" s="334">
        <v>0.92</v>
      </c>
      <c r="T524" s="334">
        <v>0.86</v>
      </c>
      <c r="V524" s="333">
        <v>290</v>
      </c>
      <c r="W524" s="334">
        <v>1</v>
      </c>
      <c r="X524" s="334">
        <v>1</v>
      </c>
      <c r="Y524" s="334">
        <v>0.99</v>
      </c>
      <c r="Z524" s="334">
        <v>0.96</v>
      </c>
      <c r="AA524" s="334">
        <v>0.91</v>
      </c>
      <c r="AC524" s="333">
        <v>290</v>
      </c>
      <c r="AD524" s="334">
        <v>1</v>
      </c>
      <c r="AE524" s="334">
        <v>1.03</v>
      </c>
      <c r="AF524" s="334">
        <v>1.03</v>
      </c>
      <c r="AG524" s="334">
        <v>1.01</v>
      </c>
      <c r="AH524" s="334">
        <v>0.98</v>
      </c>
      <c r="AJ524" s="333">
        <v>290</v>
      </c>
      <c r="AK524" s="334">
        <v>1</v>
      </c>
      <c r="AL524" s="334">
        <v>1.04</v>
      </c>
      <c r="AM524" s="334">
        <v>1.06</v>
      </c>
      <c r="AN524" s="334">
        <v>1.07</v>
      </c>
      <c r="AO524" s="334">
        <v>1.05</v>
      </c>
      <c r="AQ524" s="333">
        <v>290</v>
      </c>
      <c r="AR524" s="334">
        <v>1</v>
      </c>
      <c r="AS524" s="334">
        <v>1.06</v>
      </c>
      <c r="AT524" s="334">
        <v>1.1000000000000001</v>
      </c>
      <c r="AU524" s="334">
        <v>1.1200000000000001</v>
      </c>
      <c r="AV524" s="334">
        <v>1.1200000000000001</v>
      </c>
      <c r="AX524" s="333">
        <v>290</v>
      </c>
      <c r="AY524" s="334">
        <v>1</v>
      </c>
      <c r="AZ524" s="334">
        <v>1.08</v>
      </c>
      <c r="BA524" s="334">
        <v>1.1299999999999999</v>
      </c>
      <c r="BB524" s="334">
        <v>1.1499999999999999</v>
      </c>
      <c r="BC524" s="334">
        <v>1.1599999999999999</v>
      </c>
      <c r="BE524" s="333">
        <v>290</v>
      </c>
      <c r="BF524" s="334">
        <v>1</v>
      </c>
      <c r="BG524" s="334">
        <v>1.07</v>
      </c>
      <c r="BH524" s="334">
        <v>1.1100000000000001</v>
      </c>
      <c r="BI524" s="334">
        <v>1.1399999999999999</v>
      </c>
      <c r="BJ524" s="334">
        <v>1.1399999999999999</v>
      </c>
      <c r="BL524" s="333">
        <v>290</v>
      </c>
      <c r="BM524" s="334">
        <v>1</v>
      </c>
      <c r="BN524" s="334">
        <v>1.05</v>
      </c>
      <c r="BO524" s="334">
        <v>1.0900000000000001</v>
      </c>
      <c r="BP524" s="334">
        <v>1.1000000000000001</v>
      </c>
      <c r="BQ524" s="334">
        <v>1.0900000000000001</v>
      </c>
      <c r="BS524" s="333">
        <v>290</v>
      </c>
      <c r="BT524" s="334">
        <v>1</v>
      </c>
      <c r="BU524" s="334">
        <v>1.03</v>
      </c>
      <c r="BV524" s="334">
        <v>1.04</v>
      </c>
      <c r="BW524" s="334">
        <v>1.04</v>
      </c>
      <c r="BX524" s="334">
        <v>1.01</v>
      </c>
      <c r="BZ524" s="333">
        <v>290</v>
      </c>
      <c r="CA524" s="334">
        <v>1</v>
      </c>
      <c r="CB524" s="334">
        <v>1.01</v>
      </c>
      <c r="CC524" s="334">
        <v>1</v>
      </c>
      <c r="CD524" s="334">
        <v>0.98</v>
      </c>
      <c r="CE524" s="334">
        <v>0.94</v>
      </c>
      <c r="CG524" s="333">
        <v>290</v>
      </c>
      <c r="CH524" s="334">
        <v>1</v>
      </c>
      <c r="CI524" s="334">
        <v>1</v>
      </c>
      <c r="CJ524" s="334">
        <v>0.97</v>
      </c>
      <c r="CK524" s="334">
        <v>0.93</v>
      </c>
      <c r="CL524" s="334">
        <v>0.88</v>
      </c>
      <c r="CN524" s="333">
        <v>290</v>
      </c>
      <c r="CO524" s="334">
        <v>1</v>
      </c>
      <c r="CP524" s="334">
        <v>0.99</v>
      </c>
      <c r="CQ524" s="334">
        <v>0.96</v>
      </c>
      <c r="CR524" s="334">
        <v>0.92</v>
      </c>
      <c r="CS524" s="334">
        <v>0.87</v>
      </c>
    </row>
    <row r="525" spans="3:97" x14ac:dyDescent="0.25">
      <c r="C525" s="333">
        <v>40</v>
      </c>
      <c r="D525" s="334">
        <v>0.9</v>
      </c>
      <c r="E525" s="334">
        <v>0.95</v>
      </c>
      <c r="F525" s="334">
        <v>0.98</v>
      </c>
      <c r="G525" s="335">
        <v>0.98</v>
      </c>
      <c r="H525" s="334">
        <v>0.96</v>
      </c>
      <c r="I525" s="334">
        <v>0.91</v>
      </c>
      <c r="J525" s="334">
        <v>0.86</v>
      </c>
      <c r="K525" s="334">
        <v>0.78</v>
      </c>
      <c r="L525" s="334">
        <v>0.69</v>
      </c>
      <c r="M525" s="334">
        <v>0.6</v>
      </c>
      <c r="O525" s="333">
        <v>300</v>
      </c>
      <c r="P525" s="334">
        <v>1</v>
      </c>
      <c r="Q525" s="334">
        <v>0.99</v>
      </c>
      <c r="R525" s="335">
        <v>0.96</v>
      </c>
      <c r="S525" s="334">
        <v>0.91</v>
      </c>
      <c r="T525" s="334">
        <v>0.85</v>
      </c>
      <c r="V525" s="333">
        <v>300</v>
      </c>
      <c r="W525" s="334">
        <v>1</v>
      </c>
      <c r="X525" s="334">
        <v>1</v>
      </c>
      <c r="Y525" s="335">
        <v>0.99</v>
      </c>
      <c r="Z525" s="334">
        <v>0.96</v>
      </c>
      <c r="AA525" s="334">
        <v>0.91</v>
      </c>
      <c r="AC525" s="333">
        <v>300</v>
      </c>
      <c r="AD525" s="334">
        <v>1</v>
      </c>
      <c r="AE525" s="334">
        <v>1.03</v>
      </c>
      <c r="AF525" s="335">
        <v>1.04</v>
      </c>
      <c r="AG525" s="334">
        <v>1.03</v>
      </c>
      <c r="AH525" s="334">
        <v>1</v>
      </c>
      <c r="AJ525" s="333">
        <v>300</v>
      </c>
      <c r="AK525" s="334">
        <v>1</v>
      </c>
      <c r="AL525" s="334">
        <v>1.06</v>
      </c>
      <c r="AM525" s="335">
        <v>1.1000000000000001</v>
      </c>
      <c r="AN525" s="334">
        <v>1.1100000000000001</v>
      </c>
      <c r="AO525" s="334">
        <v>1.1000000000000001</v>
      </c>
      <c r="AQ525" s="333">
        <v>300</v>
      </c>
      <c r="AR525" s="334">
        <v>1</v>
      </c>
      <c r="AS525" s="334">
        <v>1.0900000000000001</v>
      </c>
      <c r="AT525" s="335">
        <v>1.1499999999999999</v>
      </c>
      <c r="AU525" s="334">
        <v>1.19</v>
      </c>
      <c r="AV525" s="334">
        <v>1.2</v>
      </c>
      <c r="AX525" s="333">
        <v>300</v>
      </c>
      <c r="AY525" s="334">
        <v>1</v>
      </c>
      <c r="AZ525" s="334">
        <v>1.1000000000000001</v>
      </c>
      <c r="BA525" s="335">
        <v>1.18</v>
      </c>
      <c r="BB525" s="334">
        <v>1.24</v>
      </c>
      <c r="BC525" s="334">
        <v>1.26</v>
      </c>
      <c r="BE525" s="333">
        <v>300</v>
      </c>
      <c r="BF525" s="334">
        <v>1</v>
      </c>
      <c r="BG525" s="334">
        <v>1.1000000000000001</v>
      </c>
      <c r="BH525" s="335">
        <v>1.17</v>
      </c>
      <c r="BI525" s="334">
        <v>1.22</v>
      </c>
      <c r="BJ525" s="334">
        <v>1.23</v>
      </c>
      <c r="BL525" s="333">
        <v>300</v>
      </c>
      <c r="BM525" s="334">
        <v>1</v>
      </c>
      <c r="BN525" s="334">
        <v>1.08</v>
      </c>
      <c r="BO525" s="335">
        <v>1.1200000000000001</v>
      </c>
      <c r="BP525" s="334">
        <v>1.1499999999999999</v>
      </c>
      <c r="BQ525" s="334">
        <v>1.1499999999999999</v>
      </c>
      <c r="BS525" s="333">
        <v>300</v>
      </c>
      <c r="BT525" s="334">
        <v>1</v>
      </c>
      <c r="BU525" s="334">
        <v>1.04</v>
      </c>
      <c r="BV525" s="335">
        <v>1.06</v>
      </c>
      <c r="BW525" s="334">
        <v>1.06</v>
      </c>
      <c r="BX525" s="334">
        <v>1.05</v>
      </c>
      <c r="BZ525" s="333">
        <v>300</v>
      </c>
      <c r="CA525" s="334">
        <v>1</v>
      </c>
      <c r="CB525" s="334">
        <v>1.02</v>
      </c>
      <c r="CC525" s="335">
        <v>1.01</v>
      </c>
      <c r="CD525" s="334">
        <v>0.99</v>
      </c>
      <c r="CE525" s="334">
        <v>0.95</v>
      </c>
      <c r="CG525" s="333">
        <v>300</v>
      </c>
      <c r="CH525" s="334">
        <v>1</v>
      </c>
      <c r="CI525" s="334">
        <v>0.99</v>
      </c>
      <c r="CJ525" s="335">
        <v>0.97</v>
      </c>
      <c r="CK525" s="334">
        <v>0.93</v>
      </c>
      <c r="CL525" s="334">
        <v>0.88</v>
      </c>
      <c r="CN525" s="333">
        <v>300</v>
      </c>
      <c r="CO525" s="334">
        <v>1</v>
      </c>
      <c r="CP525" s="334">
        <v>0.99</v>
      </c>
      <c r="CQ525" s="335">
        <v>0.96</v>
      </c>
      <c r="CR525" s="334">
        <v>0.91</v>
      </c>
      <c r="CS525" s="334">
        <v>0.85</v>
      </c>
    </row>
    <row r="526" spans="3:97" x14ac:dyDescent="0.25">
      <c r="C526" s="333">
        <v>50</v>
      </c>
      <c r="D526" s="334">
        <v>0.9</v>
      </c>
      <c r="E526" s="334">
        <v>0.94</v>
      </c>
      <c r="F526" s="334">
        <v>0.96</v>
      </c>
      <c r="G526" s="335">
        <v>0.96</v>
      </c>
      <c r="H526" s="334">
        <v>0.94</v>
      </c>
      <c r="I526" s="334">
        <v>0.9</v>
      </c>
      <c r="J526" s="334">
        <v>0.84</v>
      </c>
      <c r="K526" s="334">
        <v>0.77</v>
      </c>
      <c r="L526" s="334">
        <v>0.69</v>
      </c>
      <c r="M526" s="334">
        <v>0.6</v>
      </c>
      <c r="O526" s="333">
        <v>310</v>
      </c>
      <c r="P526" s="334">
        <v>1</v>
      </c>
      <c r="Q526" s="334">
        <v>0.99</v>
      </c>
      <c r="R526" s="335">
        <v>0.95</v>
      </c>
      <c r="S526" s="334">
        <v>0.9</v>
      </c>
      <c r="T526" s="334">
        <v>0.84</v>
      </c>
      <c r="V526" s="333">
        <v>310</v>
      </c>
      <c r="W526" s="334">
        <v>1</v>
      </c>
      <c r="X526" s="334">
        <v>1.01</v>
      </c>
      <c r="Y526" s="335">
        <v>1</v>
      </c>
      <c r="Z526" s="334">
        <v>0.96</v>
      </c>
      <c r="AA526" s="334">
        <v>0.91</v>
      </c>
      <c r="AC526" s="333">
        <v>310</v>
      </c>
      <c r="AD526" s="334">
        <v>1</v>
      </c>
      <c r="AE526" s="334">
        <v>1.04</v>
      </c>
      <c r="AF526" s="335">
        <v>1.06</v>
      </c>
      <c r="AG526" s="334">
        <v>1.05</v>
      </c>
      <c r="AH526" s="334">
        <v>1.03</v>
      </c>
      <c r="AJ526" s="333">
        <v>310</v>
      </c>
      <c r="AK526" s="334">
        <v>1</v>
      </c>
      <c r="AL526" s="334">
        <v>1.08</v>
      </c>
      <c r="AM526" s="335">
        <v>1.1200000000000001</v>
      </c>
      <c r="AN526" s="334">
        <v>1.1499999999999999</v>
      </c>
      <c r="AO526" s="334">
        <v>1.1499999999999999</v>
      </c>
      <c r="AQ526" s="333">
        <v>310</v>
      </c>
      <c r="AR526" s="334">
        <v>1</v>
      </c>
      <c r="AS526" s="334">
        <v>1.1100000000000001</v>
      </c>
      <c r="AT526" s="335">
        <v>1.2</v>
      </c>
      <c r="AU526" s="334">
        <v>1.25</v>
      </c>
      <c r="AV526" s="334">
        <v>1.28</v>
      </c>
      <c r="AX526" s="333">
        <v>310</v>
      </c>
      <c r="AY526" s="334">
        <v>1</v>
      </c>
      <c r="AZ526" s="334">
        <v>1.1299999999999999</v>
      </c>
      <c r="BA526" s="335">
        <v>1.23</v>
      </c>
      <c r="BB526" s="334">
        <v>1.31</v>
      </c>
      <c r="BC526" s="334">
        <v>1.35</v>
      </c>
      <c r="BE526" s="333">
        <v>310</v>
      </c>
      <c r="BF526" s="334">
        <v>1</v>
      </c>
      <c r="BG526" s="334">
        <v>1.1200000000000001</v>
      </c>
      <c r="BH526" s="335">
        <v>1.21</v>
      </c>
      <c r="BI526" s="334">
        <v>1.28</v>
      </c>
      <c r="BJ526" s="334">
        <v>1.31</v>
      </c>
      <c r="BL526" s="333">
        <v>310</v>
      </c>
      <c r="BM526" s="334">
        <v>1</v>
      </c>
      <c r="BN526" s="334">
        <v>1.0900000000000001</v>
      </c>
      <c r="BO526" s="335">
        <v>1.1599999999999999</v>
      </c>
      <c r="BP526" s="334">
        <v>1.19</v>
      </c>
      <c r="BQ526" s="334">
        <v>1.21</v>
      </c>
      <c r="BS526" s="333">
        <v>310</v>
      </c>
      <c r="BT526" s="334">
        <v>1</v>
      </c>
      <c r="BU526" s="334">
        <v>1.06</v>
      </c>
      <c r="BV526" s="335">
        <v>1.08</v>
      </c>
      <c r="BW526" s="334">
        <v>1.0900000000000001</v>
      </c>
      <c r="BX526" s="334">
        <v>1.08</v>
      </c>
      <c r="BZ526" s="333">
        <v>310</v>
      </c>
      <c r="CA526" s="334">
        <v>1</v>
      </c>
      <c r="CB526" s="334">
        <v>1.02</v>
      </c>
      <c r="CC526" s="335">
        <v>1.02</v>
      </c>
      <c r="CD526" s="334">
        <v>1</v>
      </c>
      <c r="CE526" s="334">
        <v>0.96</v>
      </c>
      <c r="CG526" s="333">
        <v>310</v>
      </c>
      <c r="CH526" s="334">
        <v>1</v>
      </c>
      <c r="CI526" s="334">
        <v>0.99</v>
      </c>
      <c r="CJ526" s="335">
        <v>0.97</v>
      </c>
      <c r="CK526" s="334">
        <v>0.93</v>
      </c>
      <c r="CL526" s="334">
        <v>0.87</v>
      </c>
      <c r="CN526" s="333">
        <v>310</v>
      </c>
      <c r="CO526" s="334">
        <v>1</v>
      </c>
      <c r="CP526" s="334">
        <v>0.99</v>
      </c>
      <c r="CQ526" s="335">
        <v>0.95</v>
      </c>
      <c r="CR526" s="334">
        <v>0.9</v>
      </c>
      <c r="CS526" s="334">
        <v>0.84</v>
      </c>
    </row>
    <row r="527" spans="3:97" x14ac:dyDescent="0.25">
      <c r="C527" s="333">
        <v>60</v>
      </c>
      <c r="D527" s="334">
        <v>0.9</v>
      </c>
      <c r="E527" s="334">
        <v>0.93</v>
      </c>
      <c r="F527" s="334">
        <v>0.95</v>
      </c>
      <c r="G527" s="335">
        <v>0.94</v>
      </c>
      <c r="H527" s="334">
        <v>0.92</v>
      </c>
      <c r="I527" s="334">
        <v>0.88</v>
      </c>
      <c r="J527" s="334">
        <v>0.82</v>
      </c>
      <c r="K527" s="334">
        <v>0.76</v>
      </c>
      <c r="L527" s="334">
        <v>0.68</v>
      </c>
      <c r="M527" s="334">
        <v>0.6</v>
      </c>
      <c r="O527" s="333">
        <v>320</v>
      </c>
      <c r="P527" s="334">
        <v>1</v>
      </c>
      <c r="Q527" s="334">
        <v>0.99</v>
      </c>
      <c r="R527" s="335">
        <v>0.95</v>
      </c>
      <c r="S527" s="334">
        <v>0.9</v>
      </c>
      <c r="T527" s="334">
        <v>0.83</v>
      </c>
      <c r="V527" s="333">
        <v>320</v>
      </c>
      <c r="W527" s="334">
        <v>1</v>
      </c>
      <c r="X527" s="334">
        <v>1.01</v>
      </c>
      <c r="Y527" s="335">
        <v>1</v>
      </c>
      <c r="Z527" s="334">
        <v>0.96</v>
      </c>
      <c r="AA527" s="334">
        <v>0.91</v>
      </c>
      <c r="AC527" s="333">
        <v>320</v>
      </c>
      <c r="AD527" s="334">
        <v>1</v>
      </c>
      <c r="AE527" s="334">
        <v>1.05</v>
      </c>
      <c r="AF527" s="335">
        <v>1.07</v>
      </c>
      <c r="AG527" s="334">
        <v>1.06</v>
      </c>
      <c r="AH527" s="334">
        <v>1.04</v>
      </c>
      <c r="AJ527" s="333">
        <v>320</v>
      </c>
      <c r="AK527" s="334">
        <v>1</v>
      </c>
      <c r="AL527" s="334">
        <v>1.0900000000000001</v>
      </c>
      <c r="AM527" s="335">
        <v>1.1499999999999999</v>
      </c>
      <c r="AN527" s="334">
        <v>1.18</v>
      </c>
      <c r="AO527" s="334">
        <v>1.19</v>
      </c>
      <c r="AQ527" s="333">
        <v>320</v>
      </c>
      <c r="AR527" s="334">
        <v>1</v>
      </c>
      <c r="AS527" s="334">
        <v>1.1299999999999999</v>
      </c>
      <c r="AT527" s="335">
        <v>1.23</v>
      </c>
      <c r="AU527" s="334">
        <v>1.3</v>
      </c>
      <c r="AV527" s="334">
        <v>1.34</v>
      </c>
      <c r="AX527" s="333">
        <v>320</v>
      </c>
      <c r="AY527" s="334">
        <v>1</v>
      </c>
      <c r="AZ527" s="334">
        <v>1.1499999999999999</v>
      </c>
      <c r="BA527" s="335">
        <v>1.28</v>
      </c>
      <c r="BB527" s="334">
        <v>1.37</v>
      </c>
      <c r="BC527" s="334">
        <v>1.42</v>
      </c>
      <c r="BE527" s="333">
        <v>320</v>
      </c>
      <c r="BF527" s="334">
        <v>1</v>
      </c>
      <c r="BG527" s="334">
        <v>1.1399999999999999</v>
      </c>
      <c r="BH527" s="335">
        <v>1.25</v>
      </c>
      <c r="BI527" s="334">
        <v>1.34</v>
      </c>
      <c r="BJ527" s="334">
        <v>1.39</v>
      </c>
      <c r="BL527" s="333">
        <v>320</v>
      </c>
      <c r="BM527" s="334">
        <v>1</v>
      </c>
      <c r="BN527" s="334">
        <v>1.1100000000000001</v>
      </c>
      <c r="BO527" s="335">
        <v>1.19</v>
      </c>
      <c r="BP527" s="334">
        <v>1.23</v>
      </c>
      <c r="BQ527" s="334">
        <v>1.25</v>
      </c>
      <c r="BS527" s="333">
        <v>320</v>
      </c>
      <c r="BT527" s="334">
        <v>1</v>
      </c>
      <c r="BU527" s="334">
        <v>1.06</v>
      </c>
      <c r="BV527" s="335">
        <v>1.1000000000000001</v>
      </c>
      <c r="BW527" s="334">
        <v>1.1100000000000001</v>
      </c>
      <c r="BX527" s="334">
        <v>1.1000000000000001</v>
      </c>
      <c r="BZ527" s="333">
        <v>320</v>
      </c>
      <c r="CA527" s="334">
        <v>1</v>
      </c>
      <c r="CB527" s="334">
        <v>1.02</v>
      </c>
      <c r="CC527" s="335">
        <v>1.02</v>
      </c>
      <c r="CD527" s="334">
        <v>1</v>
      </c>
      <c r="CE527" s="334">
        <v>0.96</v>
      </c>
      <c r="CG527" s="333">
        <v>320</v>
      </c>
      <c r="CH527" s="334">
        <v>1</v>
      </c>
      <c r="CI527" s="334">
        <v>0.99</v>
      </c>
      <c r="CJ527" s="335">
        <v>0.96</v>
      </c>
      <c r="CK527" s="334">
        <v>0.92</v>
      </c>
      <c r="CL527" s="334">
        <v>0.86</v>
      </c>
      <c r="CN527" s="333">
        <v>320</v>
      </c>
      <c r="CO527" s="334">
        <v>1</v>
      </c>
      <c r="CP527" s="334">
        <v>0.98</v>
      </c>
      <c r="CQ527" s="335">
        <v>0.94</v>
      </c>
      <c r="CR527" s="334">
        <v>0.89</v>
      </c>
      <c r="CS527" s="334">
        <v>0.82</v>
      </c>
    </row>
    <row r="528" spans="3:97" x14ac:dyDescent="0.25">
      <c r="C528" s="333">
        <v>70</v>
      </c>
      <c r="D528" s="334">
        <v>0.9</v>
      </c>
      <c r="E528" s="334">
        <v>0.93</v>
      </c>
      <c r="F528" s="334">
        <v>0.93</v>
      </c>
      <c r="G528" s="335">
        <v>0.92</v>
      </c>
      <c r="H528" s="334">
        <v>0.89</v>
      </c>
      <c r="I528" s="334">
        <v>0.85</v>
      </c>
      <c r="J528" s="334">
        <v>0.8</v>
      </c>
      <c r="K528" s="334">
        <v>0.73</v>
      </c>
      <c r="L528" s="334">
        <v>0.66</v>
      </c>
      <c r="M528" s="334">
        <v>0.59</v>
      </c>
      <c r="O528" s="333">
        <v>330</v>
      </c>
      <c r="P528" s="334">
        <v>1</v>
      </c>
      <c r="Q528" s="334">
        <v>0.98</v>
      </c>
      <c r="R528" s="335">
        <v>0.95</v>
      </c>
      <c r="S528" s="334">
        <v>0.89</v>
      </c>
      <c r="T528" s="334">
        <v>0.82</v>
      </c>
      <c r="V528" s="333">
        <v>330</v>
      </c>
      <c r="W528" s="334">
        <v>1</v>
      </c>
      <c r="X528" s="334">
        <v>1.01</v>
      </c>
      <c r="Y528" s="335">
        <v>1</v>
      </c>
      <c r="Z528" s="334">
        <v>0.97</v>
      </c>
      <c r="AA528" s="334">
        <v>0.91</v>
      </c>
      <c r="AC528" s="333">
        <v>330</v>
      </c>
      <c r="AD528" s="334">
        <v>1</v>
      </c>
      <c r="AE528" s="334">
        <v>1.05</v>
      </c>
      <c r="AF528" s="335">
        <v>1.08</v>
      </c>
      <c r="AG528" s="334">
        <v>1.08</v>
      </c>
      <c r="AH528" s="334">
        <v>1.05</v>
      </c>
      <c r="AJ528" s="333">
        <v>330</v>
      </c>
      <c r="AK528" s="334">
        <v>1</v>
      </c>
      <c r="AL528" s="334">
        <v>1.1000000000000001</v>
      </c>
      <c r="AM528" s="335">
        <v>1.17</v>
      </c>
      <c r="AN528" s="334">
        <v>1.22</v>
      </c>
      <c r="AO528" s="334">
        <v>1.22</v>
      </c>
      <c r="AQ528" s="333">
        <v>330</v>
      </c>
      <c r="AR528" s="334">
        <v>1</v>
      </c>
      <c r="AS528" s="334">
        <v>1.1499999999999999</v>
      </c>
      <c r="AT528" s="335">
        <v>1.26</v>
      </c>
      <c r="AU528" s="334">
        <v>1.34</v>
      </c>
      <c r="AV528" s="334">
        <v>1.4</v>
      </c>
      <c r="AX528" s="333">
        <v>330</v>
      </c>
      <c r="AY528" s="334">
        <v>1</v>
      </c>
      <c r="AZ528" s="334">
        <v>1.17</v>
      </c>
      <c r="BA528" s="335">
        <v>1.31</v>
      </c>
      <c r="BB528" s="334">
        <v>1.42</v>
      </c>
      <c r="BC528" s="334">
        <v>1.49</v>
      </c>
      <c r="BE528" s="333">
        <v>330</v>
      </c>
      <c r="BF528" s="334">
        <v>1</v>
      </c>
      <c r="BG528" s="334">
        <v>1.1599999999999999</v>
      </c>
      <c r="BH528" s="335">
        <v>1.29</v>
      </c>
      <c r="BI528" s="334">
        <v>1.39</v>
      </c>
      <c r="BJ528" s="334">
        <v>1.45</v>
      </c>
      <c r="BL528" s="333">
        <v>330</v>
      </c>
      <c r="BM528" s="334">
        <v>1</v>
      </c>
      <c r="BN528" s="334">
        <v>1.1200000000000001</v>
      </c>
      <c r="BO528" s="335">
        <v>1.21</v>
      </c>
      <c r="BP528" s="334">
        <v>1.27</v>
      </c>
      <c r="BQ528" s="334">
        <v>1.3</v>
      </c>
      <c r="BS528" s="333">
        <v>330</v>
      </c>
      <c r="BT528" s="334">
        <v>1</v>
      </c>
      <c r="BU528" s="334">
        <v>1.07</v>
      </c>
      <c r="BV528" s="335">
        <v>1.1100000000000001</v>
      </c>
      <c r="BW528" s="334">
        <v>1.1299999999999999</v>
      </c>
      <c r="BX528" s="334">
        <v>1.1200000000000001</v>
      </c>
      <c r="BZ528" s="333">
        <v>330</v>
      </c>
      <c r="CA528" s="334">
        <v>1</v>
      </c>
      <c r="CB528" s="334">
        <v>1.03</v>
      </c>
      <c r="CC528" s="335">
        <v>1.03</v>
      </c>
      <c r="CD528" s="334">
        <v>1.01</v>
      </c>
      <c r="CE528" s="334">
        <v>0.96</v>
      </c>
      <c r="CG528" s="333">
        <v>330</v>
      </c>
      <c r="CH528" s="334">
        <v>1</v>
      </c>
      <c r="CI528" s="334">
        <v>0.99</v>
      </c>
      <c r="CJ528" s="335">
        <v>0.96</v>
      </c>
      <c r="CK528" s="334">
        <v>0.91</v>
      </c>
      <c r="CL528" s="334">
        <v>0.85</v>
      </c>
      <c r="CN528" s="333">
        <v>330</v>
      </c>
      <c r="CO528" s="334">
        <v>1</v>
      </c>
      <c r="CP528" s="334">
        <v>0.98</v>
      </c>
      <c r="CQ528" s="335">
        <v>0.94</v>
      </c>
      <c r="CR528" s="334">
        <v>0.88</v>
      </c>
      <c r="CS528" s="334">
        <v>0.8</v>
      </c>
    </row>
    <row r="529" spans="3:97" x14ac:dyDescent="0.25">
      <c r="C529" s="333">
        <v>80</v>
      </c>
      <c r="D529" s="334">
        <v>0.9</v>
      </c>
      <c r="E529" s="334">
        <v>0.92</v>
      </c>
      <c r="F529" s="334">
        <v>0.91</v>
      </c>
      <c r="G529" s="335">
        <v>0.9</v>
      </c>
      <c r="H529" s="334">
        <v>0.87</v>
      </c>
      <c r="I529" s="334">
        <v>0.82</v>
      </c>
      <c r="J529" s="334">
        <v>0.77</v>
      </c>
      <c r="K529" s="334">
        <v>0.71</v>
      </c>
      <c r="L529" s="334">
        <v>0.64</v>
      </c>
      <c r="M529" s="334">
        <v>0.56999999999999995</v>
      </c>
      <c r="O529" s="333">
        <v>340</v>
      </c>
      <c r="P529" s="334">
        <v>1</v>
      </c>
      <c r="Q529" s="334">
        <v>0.98</v>
      </c>
      <c r="R529" s="335">
        <v>0.94</v>
      </c>
      <c r="S529" s="334">
        <v>0.89</v>
      </c>
      <c r="T529" s="334">
        <v>0.81</v>
      </c>
      <c r="V529" s="333">
        <v>340</v>
      </c>
      <c r="W529" s="334">
        <v>1</v>
      </c>
      <c r="X529" s="334">
        <v>1.01</v>
      </c>
      <c r="Y529" s="335">
        <v>1</v>
      </c>
      <c r="Z529" s="334">
        <v>0.97</v>
      </c>
      <c r="AA529" s="334">
        <v>0.91</v>
      </c>
      <c r="AC529" s="333">
        <v>340</v>
      </c>
      <c r="AD529" s="334">
        <v>1</v>
      </c>
      <c r="AE529" s="334">
        <v>1.06</v>
      </c>
      <c r="AF529" s="335">
        <v>1.08</v>
      </c>
      <c r="AG529" s="334">
        <v>1.0900000000000001</v>
      </c>
      <c r="AH529" s="334">
        <v>1.06</v>
      </c>
      <c r="AJ529" s="333">
        <v>340</v>
      </c>
      <c r="AK529" s="334">
        <v>1</v>
      </c>
      <c r="AL529" s="334">
        <v>1.1100000000000001</v>
      </c>
      <c r="AM529" s="335">
        <v>1.19</v>
      </c>
      <c r="AN529" s="334">
        <v>1.23</v>
      </c>
      <c r="AO529" s="334">
        <v>1.25</v>
      </c>
      <c r="AQ529" s="333">
        <v>340</v>
      </c>
      <c r="AR529" s="334">
        <v>1</v>
      </c>
      <c r="AS529" s="334">
        <v>1.1599999999999999</v>
      </c>
      <c r="AT529" s="335">
        <v>1.29</v>
      </c>
      <c r="AU529" s="334">
        <v>1.38</v>
      </c>
      <c r="AV529" s="334">
        <v>1.44</v>
      </c>
      <c r="AX529" s="333">
        <v>340</v>
      </c>
      <c r="AY529" s="334">
        <v>1</v>
      </c>
      <c r="AZ529" s="334">
        <v>1.19</v>
      </c>
      <c r="BA529" s="335">
        <v>1.34</v>
      </c>
      <c r="BB529" s="334">
        <v>1.46</v>
      </c>
      <c r="BC529" s="334">
        <v>1.54</v>
      </c>
      <c r="BE529" s="333">
        <v>340</v>
      </c>
      <c r="BF529" s="334">
        <v>1</v>
      </c>
      <c r="BG529" s="334">
        <v>1.17</v>
      </c>
      <c r="BH529" s="335">
        <v>1.31</v>
      </c>
      <c r="BI529" s="334">
        <v>1.42</v>
      </c>
      <c r="BJ529" s="334">
        <v>1.49</v>
      </c>
      <c r="BL529" s="333">
        <v>340</v>
      </c>
      <c r="BM529" s="334">
        <v>1</v>
      </c>
      <c r="BN529" s="334">
        <v>1.1299999999999999</v>
      </c>
      <c r="BO529" s="335">
        <v>1.23</v>
      </c>
      <c r="BP529" s="334">
        <v>1.3</v>
      </c>
      <c r="BQ529" s="334">
        <v>1.33</v>
      </c>
      <c r="BS529" s="333">
        <v>340</v>
      </c>
      <c r="BT529" s="334">
        <v>1</v>
      </c>
      <c r="BU529" s="334">
        <v>1.08</v>
      </c>
      <c r="BV529" s="335">
        <v>1.1200000000000001</v>
      </c>
      <c r="BW529" s="334">
        <v>1.1399999999999999</v>
      </c>
      <c r="BX529" s="334">
        <v>1.1399999999999999</v>
      </c>
      <c r="BZ529" s="333">
        <v>340</v>
      </c>
      <c r="CA529" s="334">
        <v>1</v>
      </c>
      <c r="CB529" s="334">
        <v>1.03</v>
      </c>
      <c r="CC529" s="335">
        <v>1.03</v>
      </c>
      <c r="CD529" s="334">
        <v>1.01</v>
      </c>
      <c r="CE529" s="334">
        <v>0.97</v>
      </c>
      <c r="CG529" s="333">
        <v>340</v>
      </c>
      <c r="CH529" s="334">
        <v>1</v>
      </c>
      <c r="CI529" s="334">
        <v>0.99</v>
      </c>
      <c r="CJ529" s="335">
        <v>0.96</v>
      </c>
      <c r="CK529" s="334">
        <v>0.91</v>
      </c>
      <c r="CL529" s="334">
        <v>0.84</v>
      </c>
      <c r="CN529" s="333">
        <v>340</v>
      </c>
      <c r="CO529" s="334">
        <v>1</v>
      </c>
      <c r="CP529" s="334">
        <v>0.98</v>
      </c>
      <c r="CQ529" s="335">
        <v>0.94</v>
      </c>
      <c r="CR529" s="334">
        <v>0.87</v>
      </c>
      <c r="CS529" s="334">
        <v>0.79</v>
      </c>
    </row>
    <row r="530" spans="3:97" x14ac:dyDescent="0.25">
      <c r="C530" s="333">
        <v>90</v>
      </c>
      <c r="D530" s="334">
        <v>0.9</v>
      </c>
      <c r="E530" s="334">
        <v>0.91</v>
      </c>
      <c r="F530" s="334">
        <v>0.9</v>
      </c>
      <c r="G530" s="335">
        <v>0.87</v>
      </c>
      <c r="H530" s="334">
        <v>0.84</v>
      </c>
      <c r="I530" s="334">
        <v>0.79</v>
      </c>
      <c r="J530" s="334">
        <v>0.73</v>
      </c>
      <c r="K530" s="334">
        <v>0.67</v>
      </c>
      <c r="L530" s="334">
        <v>0.61</v>
      </c>
      <c r="M530" s="334">
        <v>0.54</v>
      </c>
      <c r="O530" s="333">
        <v>350</v>
      </c>
      <c r="P530" s="334">
        <v>1</v>
      </c>
      <c r="Q530" s="334">
        <v>0.99</v>
      </c>
      <c r="R530" s="335">
        <v>0.94</v>
      </c>
      <c r="S530" s="334">
        <v>0.88</v>
      </c>
      <c r="T530" s="334">
        <v>0.8</v>
      </c>
      <c r="V530" s="333">
        <v>350</v>
      </c>
      <c r="W530" s="334">
        <v>1</v>
      </c>
      <c r="X530" s="334">
        <v>1.01</v>
      </c>
      <c r="Y530" s="335">
        <v>1</v>
      </c>
      <c r="Z530" s="334">
        <v>0.97</v>
      </c>
      <c r="AA530" s="334">
        <v>0.91</v>
      </c>
      <c r="AC530" s="333">
        <v>350</v>
      </c>
      <c r="AD530" s="334">
        <v>1</v>
      </c>
      <c r="AE530" s="334">
        <v>1.06</v>
      </c>
      <c r="AF530" s="335">
        <v>1.0900000000000001</v>
      </c>
      <c r="AG530" s="334">
        <v>1.0900000000000001</v>
      </c>
      <c r="AH530" s="334">
        <v>1.07</v>
      </c>
      <c r="AJ530" s="333">
        <v>350</v>
      </c>
      <c r="AK530" s="334">
        <v>1</v>
      </c>
      <c r="AL530" s="334">
        <v>1.1100000000000001</v>
      </c>
      <c r="AM530" s="335">
        <v>1.2</v>
      </c>
      <c r="AN530" s="334">
        <v>1.25</v>
      </c>
      <c r="AO530" s="334">
        <v>1.27</v>
      </c>
      <c r="AQ530" s="333">
        <v>350</v>
      </c>
      <c r="AR530" s="334">
        <v>1</v>
      </c>
      <c r="AS530" s="334">
        <v>1.17</v>
      </c>
      <c r="AT530" s="335">
        <v>1.3</v>
      </c>
      <c r="AU530" s="334">
        <v>1.4</v>
      </c>
      <c r="AV530" s="334">
        <v>1.47</v>
      </c>
      <c r="AX530" s="333">
        <v>350</v>
      </c>
      <c r="AY530" s="334">
        <v>1</v>
      </c>
      <c r="AZ530" s="334">
        <v>1.19</v>
      </c>
      <c r="BA530" s="335">
        <v>1.36</v>
      </c>
      <c r="BB530" s="334">
        <v>1.49</v>
      </c>
      <c r="BC530" s="334">
        <v>1.57</v>
      </c>
      <c r="BE530" s="333">
        <v>350</v>
      </c>
      <c r="BF530" s="334">
        <v>1</v>
      </c>
      <c r="BG530" s="334">
        <v>1.18</v>
      </c>
      <c r="BH530" s="335">
        <v>1.33</v>
      </c>
      <c r="BI530" s="334">
        <v>1.45</v>
      </c>
      <c r="BJ530" s="334">
        <v>1.52</v>
      </c>
      <c r="BL530" s="333">
        <v>350</v>
      </c>
      <c r="BM530" s="334">
        <v>1</v>
      </c>
      <c r="BN530" s="334">
        <v>1.1399999999999999</v>
      </c>
      <c r="BO530" s="335">
        <v>1.24</v>
      </c>
      <c r="BP530" s="334">
        <v>1.31</v>
      </c>
      <c r="BQ530" s="334">
        <v>1.35</v>
      </c>
      <c r="BS530" s="333">
        <v>350</v>
      </c>
      <c r="BT530" s="334">
        <v>1</v>
      </c>
      <c r="BU530" s="334">
        <v>1.08</v>
      </c>
      <c r="BV530" s="335">
        <v>1.1299999999999999</v>
      </c>
      <c r="BW530" s="334">
        <v>1.1499999999999999</v>
      </c>
      <c r="BX530" s="334">
        <v>1.1399999999999999</v>
      </c>
      <c r="BZ530" s="333">
        <v>350</v>
      </c>
      <c r="CA530" s="334">
        <v>1</v>
      </c>
      <c r="CB530" s="334">
        <v>1.03</v>
      </c>
      <c r="CC530" s="335">
        <v>1.03</v>
      </c>
      <c r="CD530" s="334">
        <v>1.01</v>
      </c>
      <c r="CE530" s="334">
        <v>0.96</v>
      </c>
      <c r="CG530" s="333">
        <v>350</v>
      </c>
      <c r="CH530" s="334">
        <v>1</v>
      </c>
      <c r="CI530" s="334">
        <v>0.99</v>
      </c>
      <c r="CJ530" s="335">
        <v>0.96</v>
      </c>
      <c r="CK530" s="334">
        <v>0.91</v>
      </c>
      <c r="CL530" s="334">
        <v>0.84</v>
      </c>
      <c r="CN530" s="333">
        <v>350</v>
      </c>
      <c r="CO530" s="334">
        <v>1</v>
      </c>
      <c r="CP530" s="334">
        <v>0.98</v>
      </c>
      <c r="CQ530" s="335">
        <v>0.94</v>
      </c>
      <c r="CR530" s="334">
        <v>0.87</v>
      </c>
      <c r="CS530" s="334">
        <v>0.78</v>
      </c>
    </row>
    <row r="531" spans="3:97" x14ac:dyDescent="0.25">
      <c r="C531" s="333">
        <v>100</v>
      </c>
      <c r="D531" s="334">
        <v>0.9</v>
      </c>
      <c r="E531" s="334">
        <v>0.9</v>
      </c>
      <c r="F531" s="334">
        <v>0.88</v>
      </c>
      <c r="G531" s="335">
        <v>0.84</v>
      </c>
      <c r="H531" s="334">
        <v>0.8</v>
      </c>
      <c r="I531" s="334">
        <v>0.75</v>
      </c>
      <c r="J531" s="334">
        <v>0.69</v>
      </c>
      <c r="K531" s="334">
        <v>0.63</v>
      </c>
      <c r="L531" s="334">
        <v>0.56999999999999995</v>
      </c>
      <c r="M531" s="334">
        <v>0.51</v>
      </c>
      <c r="O531" s="333">
        <v>0</v>
      </c>
      <c r="P531" s="334">
        <v>1</v>
      </c>
      <c r="Q531" s="334">
        <v>0.99</v>
      </c>
      <c r="R531" s="335">
        <v>0.95</v>
      </c>
      <c r="S531" s="334">
        <v>0.89</v>
      </c>
      <c r="T531" s="334">
        <v>0.81</v>
      </c>
      <c r="V531" s="333">
        <v>0</v>
      </c>
      <c r="W531" s="334">
        <v>1</v>
      </c>
      <c r="X531" s="334">
        <v>1.01</v>
      </c>
      <c r="Y531" s="335">
        <v>1</v>
      </c>
      <c r="Z531" s="334">
        <v>0.97</v>
      </c>
      <c r="AA531" s="334">
        <v>0.91</v>
      </c>
      <c r="AC531" s="333">
        <v>0</v>
      </c>
      <c r="AD531" s="334">
        <v>1</v>
      </c>
      <c r="AE531" s="334">
        <v>1.06</v>
      </c>
      <c r="AF531" s="335">
        <v>1.0900000000000001</v>
      </c>
      <c r="AG531" s="334">
        <v>1.1000000000000001</v>
      </c>
      <c r="AH531" s="334">
        <v>1.07</v>
      </c>
      <c r="AJ531" s="333">
        <v>0</v>
      </c>
      <c r="AK531" s="334">
        <v>1</v>
      </c>
      <c r="AL531" s="334">
        <v>1.1100000000000001</v>
      </c>
      <c r="AM531" s="335">
        <v>1.2</v>
      </c>
      <c r="AN531" s="334">
        <v>1.26</v>
      </c>
      <c r="AO531" s="334">
        <v>1.28</v>
      </c>
      <c r="AQ531" s="333">
        <v>0</v>
      </c>
      <c r="AR531" s="334">
        <v>1</v>
      </c>
      <c r="AS531" s="334">
        <v>1.17</v>
      </c>
      <c r="AT531" s="335">
        <v>1.3</v>
      </c>
      <c r="AU531" s="334">
        <v>1.41</v>
      </c>
      <c r="AV531" s="334">
        <v>1.47</v>
      </c>
      <c r="AX531" s="333">
        <v>0</v>
      </c>
      <c r="AY531" s="334">
        <v>1</v>
      </c>
      <c r="AZ531" s="334">
        <v>1.2</v>
      </c>
      <c r="BA531" s="335">
        <v>1.37</v>
      </c>
      <c r="BB531" s="334">
        <v>1.49</v>
      </c>
      <c r="BC531" s="334">
        <v>1.58</v>
      </c>
      <c r="BE531" s="333">
        <v>0</v>
      </c>
      <c r="BF531" s="334">
        <v>1</v>
      </c>
      <c r="BG531" s="334">
        <v>1.18</v>
      </c>
      <c r="BH531" s="335">
        <v>1.33</v>
      </c>
      <c r="BI531" s="334">
        <v>1.45</v>
      </c>
      <c r="BJ531" s="334">
        <v>1.53</v>
      </c>
      <c r="BL531" s="333">
        <v>0</v>
      </c>
      <c r="BM531" s="334">
        <v>1</v>
      </c>
      <c r="BN531" s="334">
        <v>1.1399999999999999</v>
      </c>
      <c r="BO531" s="335">
        <v>1.24</v>
      </c>
      <c r="BP531" s="334">
        <v>1.32</v>
      </c>
      <c r="BQ531" s="334">
        <v>1.36</v>
      </c>
      <c r="BS531" s="333">
        <v>0</v>
      </c>
      <c r="BT531" s="334">
        <v>1</v>
      </c>
      <c r="BU531" s="334">
        <v>1.08</v>
      </c>
      <c r="BV531" s="335">
        <v>1.1299999999999999</v>
      </c>
      <c r="BW531" s="334">
        <v>1.1499999999999999</v>
      </c>
      <c r="BX531" s="334">
        <v>1.1499999999999999</v>
      </c>
      <c r="BZ531" s="333">
        <v>0</v>
      </c>
      <c r="CA531" s="334">
        <v>1</v>
      </c>
      <c r="CB531" s="334">
        <v>1.03</v>
      </c>
      <c r="CC531" s="335">
        <v>1.03</v>
      </c>
      <c r="CD531" s="334">
        <v>1.01</v>
      </c>
      <c r="CE531" s="334">
        <v>0.96</v>
      </c>
      <c r="CG531" s="333">
        <v>0</v>
      </c>
      <c r="CH531" s="334">
        <v>1</v>
      </c>
      <c r="CI531" s="334">
        <v>0.99</v>
      </c>
      <c r="CJ531" s="335">
        <v>0.96</v>
      </c>
      <c r="CK531" s="334">
        <v>0.91</v>
      </c>
      <c r="CL531" s="334">
        <v>0.83</v>
      </c>
      <c r="CN531" s="333">
        <v>0</v>
      </c>
      <c r="CO531" s="334">
        <v>1</v>
      </c>
      <c r="CP531" s="334">
        <v>0.98</v>
      </c>
      <c r="CQ531" s="335">
        <v>0.94</v>
      </c>
      <c r="CR531" s="334">
        <v>0.87</v>
      </c>
      <c r="CS531" s="334">
        <v>0.78</v>
      </c>
    </row>
    <row r="532" spans="3:97" x14ac:dyDescent="0.25">
      <c r="C532" s="333">
        <v>110</v>
      </c>
      <c r="D532" s="334">
        <v>0.9</v>
      </c>
      <c r="E532" s="334">
        <v>0.89</v>
      </c>
      <c r="F532" s="334">
        <v>0.86</v>
      </c>
      <c r="G532" s="335">
        <v>0.82</v>
      </c>
      <c r="H532" s="334">
        <v>0.76</v>
      </c>
      <c r="I532" s="334">
        <v>0.71</v>
      </c>
      <c r="J532" s="334">
        <v>0.65</v>
      </c>
      <c r="K532" s="334">
        <v>0.59</v>
      </c>
      <c r="L532" s="334">
        <v>0.53</v>
      </c>
      <c r="M532" s="334">
        <v>0.47</v>
      </c>
      <c r="O532" s="333">
        <v>10</v>
      </c>
      <c r="P532" s="334">
        <v>1</v>
      </c>
      <c r="Q532" s="334">
        <v>0.99</v>
      </c>
      <c r="R532" s="335">
        <v>0.95</v>
      </c>
      <c r="S532" s="334">
        <v>0.89</v>
      </c>
      <c r="T532" s="334">
        <v>0.81</v>
      </c>
      <c r="V532" s="333">
        <v>10</v>
      </c>
      <c r="W532" s="334">
        <v>1</v>
      </c>
      <c r="X532" s="334">
        <v>1.01</v>
      </c>
      <c r="Y532" s="335">
        <v>1.01</v>
      </c>
      <c r="Z532" s="334">
        <v>0.97</v>
      </c>
      <c r="AA532" s="334">
        <v>0.91</v>
      </c>
      <c r="AC532" s="333">
        <v>10</v>
      </c>
      <c r="AD532" s="334">
        <v>1</v>
      </c>
      <c r="AE532" s="334">
        <v>1.06</v>
      </c>
      <c r="AF532" s="335">
        <v>1.0900000000000001</v>
      </c>
      <c r="AG532" s="334">
        <v>1.1000000000000001</v>
      </c>
      <c r="AH532" s="334">
        <v>1.07</v>
      </c>
      <c r="AJ532" s="333">
        <v>10</v>
      </c>
      <c r="AK532" s="334">
        <v>1</v>
      </c>
      <c r="AL532" s="334">
        <v>1.1100000000000001</v>
      </c>
      <c r="AM532" s="335">
        <v>1.2</v>
      </c>
      <c r="AN532" s="334">
        <v>1.25</v>
      </c>
      <c r="AO532" s="334">
        <v>1.27</v>
      </c>
      <c r="AQ532" s="333">
        <v>10</v>
      </c>
      <c r="AR532" s="334">
        <v>1</v>
      </c>
      <c r="AS532" s="334">
        <v>1.17</v>
      </c>
      <c r="AT532" s="335">
        <v>1.3</v>
      </c>
      <c r="AU532" s="334">
        <v>1.4</v>
      </c>
      <c r="AV532" s="334">
        <v>1.47</v>
      </c>
      <c r="AX532" s="333">
        <v>10</v>
      </c>
      <c r="AY532" s="334">
        <v>1</v>
      </c>
      <c r="AZ532" s="334">
        <v>1.19</v>
      </c>
      <c r="BA532" s="335">
        <v>1.36</v>
      </c>
      <c r="BB532" s="334">
        <v>1.48</v>
      </c>
      <c r="BC532" s="334">
        <v>1.57</v>
      </c>
      <c r="BE532" s="333">
        <v>10</v>
      </c>
      <c r="BF532" s="334">
        <v>1</v>
      </c>
      <c r="BG532" s="334">
        <v>1.17</v>
      </c>
      <c r="BH532" s="335">
        <v>1.33</v>
      </c>
      <c r="BI532" s="334">
        <v>1.44</v>
      </c>
      <c r="BJ532" s="334">
        <v>1.52</v>
      </c>
      <c r="BL532" s="333">
        <v>10</v>
      </c>
      <c r="BM532" s="334">
        <v>1</v>
      </c>
      <c r="BN532" s="334">
        <v>1.1399999999999999</v>
      </c>
      <c r="BO532" s="335">
        <v>1.24</v>
      </c>
      <c r="BP532" s="334">
        <v>1.31</v>
      </c>
      <c r="BQ532" s="334">
        <v>1.35</v>
      </c>
      <c r="BS532" s="333">
        <v>10</v>
      </c>
      <c r="BT532" s="334">
        <v>1</v>
      </c>
      <c r="BU532" s="334">
        <v>1.08</v>
      </c>
      <c r="BV532" s="335">
        <v>1.1299999999999999</v>
      </c>
      <c r="BW532" s="334">
        <v>1.1499999999999999</v>
      </c>
      <c r="BX532" s="334">
        <v>1.1399999999999999</v>
      </c>
      <c r="BZ532" s="333">
        <v>10</v>
      </c>
      <c r="CA532" s="334">
        <v>1</v>
      </c>
      <c r="CB532" s="334">
        <v>1.03</v>
      </c>
      <c r="CC532" s="335">
        <v>1.03</v>
      </c>
      <c r="CD532" s="334">
        <v>1.01</v>
      </c>
      <c r="CE532" s="334">
        <v>0.97</v>
      </c>
      <c r="CG532" s="333">
        <v>10</v>
      </c>
      <c r="CH532" s="334">
        <v>1</v>
      </c>
      <c r="CI532" s="334">
        <v>0.99</v>
      </c>
      <c r="CJ532" s="335">
        <v>0.96</v>
      </c>
      <c r="CK532" s="334">
        <v>0.91</v>
      </c>
      <c r="CL532" s="334">
        <v>0.84</v>
      </c>
      <c r="CN532" s="333">
        <v>10</v>
      </c>
      <c r="CO532" s="334">
        <v>1</v>
      </c>
      <c r="CP532" s="334">
        <v>0.98</v>
      </c>
      <c r="CQ532" s="335">
        <v>0.94</v>
      </c>
      <c r="CR532" s="334">
        <v>0.87</v>
      </c>
      <c r="CS532" s="334">
        <v>0.79</v>
      </c>
    </row>
    <row r="533" spans="3:97" x14ac:dyDescent="0.25">
      <c r="C533" s="333">
        <v>120</v>
      </c>
      <c r="D533" s="334">
        <v>0.9</v>
      </c>
      <c r="E533" s="334">
        <v>0.88</v>
      </c>
      <c r="F533" s="334">
        <v>0.84</v>
      </c>
      <c r="G533" s="335">
        <v>0.79</v>
      </c>
      <c r="H533" s="334">
        <v>0.73</v>
      </c>
      <c r="I533" s="334">
        <v>0.67</v>
      </c>
      <c r="J533" s="334">
        <v>0.6</v>
      </c>
      <c r="K533" s="334">
        <v>0.54</v>
      </c>
      <c r="L533" s="334">
        <v>0.48</v>
      </c>
      <c r="M533" s="334">
        <v>0.42</v>
      </c>
      <c r="O533" s="333">
        <v>20</v>
      </c>
      <c r="P533" s="334">
        <v>1</v>
      </c>
      <c r="Q533" s="334">
        <v>0.99</v>
      </c>
      <c r="R533" s="335">
        <v>0.95</v>
      </c>
      <c r="S533" s="334">
        <v>0.9</v>
      </c>
      <c r="T533" s="334">
        <v>0.83</v>
      </c>
      <c r="V533" s="333">
        <v>20</v>
      </c>
      <c r="W533" s="334">
        <v>1</v>
      </c>
      <c r="X533" s="334">
        <v>1.01</v>
      </c>
      <c r="Y533" s="335">
        <v>1.01</v>
      </c>
      <c r="Z533" s="334">
        <v>0.97</v>
      </c>
      <c r="AA533" s="334">
        <v>0.92</v>
      </c>
      <c r="AC533" s="333">
        <v>20</v>
      </c>
      <c r="AD533" s="334">
        <v>1</v>
      </c>
      <c r="AE533" s="334">
        <v>1.06</v>
      </c>
      <c r="AF533" s="335">
        <v>1.0900000000000001</v>
      </c>
      <c r="AG533" s="334">
        <v>1.0900000000000001</v>
      </c>
      <c r="AH533" s="334">
        <v>1.07</v>
      </c>
      <c r="AJ533" s="333">
        <v>20</v>
      </c>
      <c r="AK533" s="334">
        <v>1</v>
      </c>
      <c r="AL533" s="334">
        <v>1.1100000000000001</v>
      </c>
      <c r="AM533" s="335">
        <v>1.19</v>
      </c>
      <c r="AN533" s="334">
        <v>1.24</v>
      </c>
      <c r="AO533" s="334">
        <v>1.25</v>
      </c>
      <c r="AQ533" s="333">
        <v>20</v>
      </c>
      <c r="AR533" s="334">
        <v>1</v>
      </c>
      <c r="AS533" s="334">
        <v>1.1599999999999999</v>
      </c>
      <c r="AT533" s="335">
        <v>1.29</v>
      </c>
      <c r="AU533" s="334">
        <v>1.38</v>
      </c>
      <c r="AV533" s="334">
        <v>1.44</v>
      </c>
      <c r="AX533" s="333">
        <v>20</v>
      </c>
      <c r="AY533" s="334">
        <v>1</v>
      </c>
      <c r="AZ533" s="334">
        <v>1.19</v>
      </c>
      <c r="BA533" s="335">
        <v>1.34</v>
      </c>
      <c r="BB533" s="334">
        <v>1.46</v>
      </c>
      <c r="BC533" s="334">
        <v>1.53</v>
      </c>
      <c r="BE533" s="333">
        <v>20</v>
      </c>
      <c r="BF533" s="334">
        <v>1</v>
      </c>
      <c r="BG533" s="334">
        <v>1.17</v>
      </c>
      <c r="BH533" s="335">
        <v>1.31</v>
      </c>
      <c r="BI533" s="334">
        <v>1.42</v>
      </c>
      <c r="BJ533" s="334">
        <v>1.48</v>
      </c>
      <c r="BL533" s="333">
        <v>20</v>
      </c>
      <c r="BM533" s="334">
        <v>1</v>
      </c>
      <c r="BN533" s="334">
        <v>1.1299999999999999</v>
      </c>
      <c r="BO533" s="335">
        <v>1.23</v>
      </c>
      <c r="BP533" s="334">
        <v>1.29</v>
      </c>
      <c r="BQ533" s="334">
        <v>1.32</v>
      </c>
      <c r="BS533" s="333">
        <v>20</v>
      </c>
      <c r="BT533" s="334">
        <v>1</v>
      </c>
      <c r="BU533" s="334">
        <v>1.07</v>
      </c>
      <c r="BV533" s="335">
        <v>1.1200000000000001</v>
      </c>
      <c r="BW533" s="334">
        <v>1.1399999999999999</v>
      </c>
      <c r="BX533" s="334">
        <v>1.1299999999999999</v>
      </c>
      <c r="BZ533" s="333">
        <v>20</v>
      </c>
      <c r="CA533" s="334">
        <v>1</v>
      </c>
      <c r="CB533" s="334">
        <v>1.03</v>
      </c>
      <c r="CC533" s="335">
        <v>1.03</v>
      </c>
      <c r="CD533" s="334">
        <v>1.01</v>
      </c>
      <c r="CE533" s="334">
        <v>0.97</v>
      </c>
      <c r="CG533" s="333">
        <v>20</v>
      </c>
      <c r="CH533" s="334">
        <v>1</v>
      </c>
      <c r="CI533" s="334">
        <v>1</v>
      </c>
      <c r="CJ533" s="335">
        <v>0.97</v>
      </c>
      <c r="CK533" s="334">
        <v>0.92</v>
      </c>
      <c r="CL533" s="334">
        <v>0.85</v>
      </c>
      <c r="CN533" s="333">
        <v>20</v>
      </c>
      <c r="CO533" s="334">
        <v>1</v>
      </c>
      <c r="CP533" s="334">
        <v>0.98</v>
      </c>
      <c r="CQ533" s="335">
        <v>0.94</v>
      </c>
      <c r="CR533" s="334">
        <v>0.88</v>
      </c>
      <c r="CS533" s="334">
        <v>0.8</v>
      </c>
    </row>
    <row r="534" spans="3:97" x14ac:dyDescent="0.25">
      <c r="C534" s="333">
        <v>130</v>
      </c>
      <c r="D534" s="334">
        <v>0.9</v>
      </c>
      <c r="E534" s="334">
        <v>0.87</v>
      </c>
      <c r="F534" s="334">
        <v>0.82</v>
      </c>
      <c r="G534" s="335">
        <v>0.76</v>
      </c>
      <c r="H534" s="334">
        <v>0.69</v>
      </c>
      <c r="I534" s="334">
        <v>0.62</v>
      </c>
      <c r="J534" s="334">
        <v>0.55000000000000004</v>
      </c>
      <c r="K534" s="334">
        <v>0.49</v>
      </c>
      <c r="L534" s="334">
        <v>0.43</v>
      </c>
      <c r="M534" s="334">
        <v>0.38</v>
      </c>
      <c r="O534" s="333">
        <v>30</v>
      </c>
      <c r="P534" s="334">
        <v>1</v>
      </c>
      <c r="Q534" s="334">
        <v>0.99</v>
      </c>
      <c r="R534" s="335">
        <v>0.96</v>
      </c>
      <c r="S534" s="334">
        <v>0.91</v>
      </c>
      <c r="T534" s="334">
        <v>0.84</v>
      </c>
      <c r="V534" s="333">
        <v>30</v>
      </c>
      <c r="W534" s="334">
        <v>1</v>
      </c>
      <c r="X534" s="334">
        <v>1.01</v>
      </c>
      <c r="Y534" s="335">
        <v>1.01</v>
      </c>
      <c r="Z534" s="334">
        <v>0.98</v>
      </c>
      <c r="AA534" s="334">
        <v>0.93</v>
      </c>
      <c r="AC534" s="333">
        <v>30</v>
      </c>
      <c r="AD534" s="334">
        <v>1</v>
      </c>
      <c r="AE534" s="334">
        <v>1.06</v>
      </c>
      <c r="AF534" s="335">
        <v>1.08</v>
      </c>
      <c r="AG534" s="334">
        <v>1.08</v>
      </c>
      <c r="AH534" s="334">
        <v>1.06</v>
      </c>
      <c r="AJ534" s="333">
        <v>30</v>
      </c>
      <c r="AK534" s="334">
        <v>1</v>
      </c>
      <c r="AL534" s="334">
        <v>1.1000000000000001</v>
      </c>
      <c r="AM534" s="335">
        <v>1.17</v>
      </c>
      <c r="AN534" s="334">
        <v>1.22</v>
      </c>
      <c r="AO534" s="334">
        <v>1.23</v>
      </c>
      <c r="AQ534" s="333">
        <v>30</v>
      </c>
      <c r="AR534" s="334">
        <v>1</v>
      </c>
      <c r="AS534" s="334">
        <v>1.1399999999999999</v>
      </c>
      <c r="AT534" s="335">
        <v>1.26</v>
      </c>
      <c r="AU534" s="334">
        <v>1.34</v>
      </c>
      <c r="AV534" s="334">
        <v>1.39</v>
      </c>
      <c r="AX534" s="333">
        <v>30</v>
      </c>
      <c r="AY534" s="334">
        <v>1</v>
      </c>
      <c r="AZ534" s="334">
        <v>1.17</v>
      </c>
      <c r="BA534" s="335">
        <v>1.31</v>
      </c>
      <c r="BB534" s="334">
        <v>1.42</v>
      </c>
      <c r="BC534" s="334">
        <v>1.48</v>
      </c>
      <c r="BE534" s="333">
        <v>30</v>
      </c>
      <c r="BF534" s="334">
        <v>1</v>
      </c>
      <c r="BG534" s="334">
        <v>1.1599999999999999</v>
      </c>
      <c r="BH534" s="335">
        <v>1.28</v>
      </c>
      <c r="BI534" s="334">
        <v>1.37</v>
      </c>
      <c r="BJ534" s="334">
        <v>1.43</v>
      </c>
      <c r="BL534" s="333">
        <v>30</v>
      </c>
      <c r="BM534" s="334">
        <v>1</v>
      </c>
      <c r="BN534" s="334">
        <v>1.1200000000000001</v>
      </c>
      <c r="BO534" s="335">
        <v>1.21</v>
      </c>
      <c r="BP534" s="334">
        <v>1.26</v>
      </c>
      <c r="BQ534" s="334">
        <v>1.29</v>
      </c>
      <c r="BS534" s="333">
        <v>30</v>
      </c>
      <c r="BT534" s="334">
        <v>1</v>
      </c>
      <c r="BU534" s="334">
        <v>1.07</v>
      </c>
      <c r="BV534" s="335">
        <v>1.1100000000000001</v>
      </c>
      <c r="BW534" s="334">
        <v>1.1299999999999999</v>
      </c>
      <c r="BX534" s="334">
        <v>1.1100000000000001</v>
      </c>
      <c r="BZ534" s="333">
        <v>30</v>
      </c>
      <c r="CA534" s="334">
        <v>1</v>
      </c>
      <c r="CB534" s="334">
        <v>1.03</v>
      </c>
      <c r="CC534" s="335">
        <v>1.03</v>
      </c>
      <c r="CD534" s="334">
        <v>1.01</v>
      </c>
      <c r="CE534" s="334">
        <v>0.97</v>
      </c>
      <c r="CG534" s="333">
        <v>30</v>
      </c>
      <c r="CH534" s="334">
        <v>1</v>
      </c>
      <c r="CI534" s="334">
        <v>1</v>
      </c>
      <c r="CJ534" s="335">
        <v>0.97</v>
      </c>
      <c r="CK534" s="334">
        <v>0.93</v>
      </c>
      <c r="CL534" s="334">
        <v>0.86</v>
      </c>
      <c r="CN534" s="333">
        <v>30</v>
      </c>
      <c r="CO534" s="334">
        <v>1</v>
      </c>
      <c r="CP534" s="334">
        <v>0.99</v>
      </c>
      <c r="CQ534" s="335">
        <v>0.95</v>
      </c>
      <c r="CR534" s="334">
        <v>0.9</v>
      </c>
      <c r="CS534" s="334">
        <v>0.82</v>
      </c>
    </row>
    <row r="535" spans="3:97" x14ac:dyDescent="0.25">
      <c r="C535" s="333">
        <v>140</v>
      </c>
      <c r="D535" s="334">
        <v>0.9</v>
      </c>
      <c r="E535" s="334">
        <v>0.86</v>
      </c>
      <c r="F535" s="334">
        <v>0.8</v>
      </c>
      <c r="G535" s="335">
        <v>0.73</v>
      </c>
      <c r="H535" s="334">
        <v>0.65</v>
      </c>
      <c r="I535" s="334">
        <v>0.57999999999999996</v>
      </c>
      <c r="J535" s="334">
        <v>0.5</v>
      </c>
      <c r="K535" s="334">
        <v>0.44</v>
      </c>
      <c r="L535" s="334">
        <v>0.38</v>
      </c>
      <c r="M535" s="334">
        <v>0.33</v>
      </c>
      <c r="O535" s="333">
        <v>40</v>
      </c>
      <c r="P535" s="334">
        <v>1</v>
      </c>
      <c r="Q535" s="334">
        <v>1</v>
      </c>
      <c r="R535" s="335">
        <v>0.97</v>
      </c>
      <c r="S535" s="334">
        <v>0.92</v>
      </c>
      <c r="T535" s="334">
        <v>0.86</v>
      </c>
      <c r="V535" s="333">
        <v>40</v>
      </c>
      <c r="W535" s="334">
        <v>1</v>
      </c>
      <c r="X535" s="334">
        <v>1.01</v>
      </c>
      <c r="Y535" s="335">
        <v>1.01</v>
      </c>
      <c r="Z535" s="334">
        <v>0.98</v>
      </c>
      <c r="AA535" s="334">
        <v>0.93</v>
      </c>
      <c r="AC535" s="333">
        <v>40</v>
      </c>
      <c r="AD535" s="334">
        <v>1</v>
      </c>
      <c r="AE535" s="334">
        <v>1.05</v>
      </c>
      <c r="AF535" s="335">
        <v>1.07</v>
      </c>
      <c r="AG535" s="334">
        <v>1.07</v>
      </c>
      <c r="AH535" s="334">
        <v>1.05</v>
      </c>
      <c r="AJ535" s="333">
        <v>40</v>
      </c>
      <c r="AK535" s="334">
        <v>1</v>
      </c>
      <c r="AL535" s="334">
        <v>1.0900000000000001</v>
      </c>
      <c r="AM535" s="335">
        <v>1.1499999999999999</v>
      </c>
      <c r="AN535" s="334">
        <v>1.19</v>
      </c>
      <c r="AO535" s="334">
        <v>1.19</v>
      </c>
      <c r="AQ535" s="333">
        <v>40</v>
      </c>
      <c r="AR535" s="334">
        <v>1</v>
      </c>
      <c r="AS535" s="334">
        <v>1.1299999999999999</v>
      </c>
      <c r="AT535" s="335">
        <v>1.23</v>
      </c>
      <c r="AU535" s="334">
        <v>1.3</v>
      </c>
      <c r="AV535" s="334">
        <v>1.33</v>
      </c>
      <c r="AX535" s="333">
        <v>40</v>
      </c>
      <c r="AY535" s="334">
        <v>1</v>
      </c>
      <c r="AZ535" s="334">
        <v>1.1499999999999999</v>
      </c>
      <c r="BA535" s="335">
        <v>1.27</v>
      </c>
      <c r="BB535" s="334">
        <v>1.36</v>
      </c>
      <c r="BC535" s="334">
        <v>1.41</v>
      </c>
      <c r="BE535" s="333">
        <v>40</v>
      </c>
      <c r="BF535" s="334">
        <v>1</v>
      </c>
      <c r="BG535" s="334">
        <v>1.1399999999999999</v>
      </c>
      <c r="BH535" s="335">
        <v>1.25</v>
      </c>
      <c r="BI535" s="334">
        <v>1.33</v>
      </c>
      <c r="BJ535" s="334">
        <v>1.37</v>
      </c>
      <c r="BL535" s="333">
        <v>40</v>
      </c>
      <c r="BM535" s="334">
        <v>1</v>
      </c>
      <c r="BN535" s="334">
        <v>1.1100000000000001</v>
      </c>
      <c r="BO535" s="335">
        <v>1.18</v>
      </c>
      <c r="BP535" s="334">
        <v>1.23</v>
      </c>
      <c r="BQ535" s="334">
        <v>1.24</v>
      </c>
      <c r="BS535" s="333">
        <v>40</v>
      </c>
      <c r="BT535" s="334">
        <v>1</v>
      </c>
      <c r="BU535" s="334">
        <v>1.06</v>
      </c>
      <c r="BV535" s="335">
        <v>1.1000000000000001</v>
      </c>
      <c r="BW535" s="334">
        <v>1.1100000000000001</v>
      </c>
      <c r="BX535" s="334">
        <v>1.0900000000000001</v>
      </c>
      <c r="BZ535" s="333">
        <v>40</v>
      </c>
      <c r="CA535" s="334">
        <v>1</v>
      </c>
      <c r="CB535" s="334">
        <v>1.02</v>
      </c>
      <c r="CC535" s="335">
        <v>1.03</v>
      </c>
      <c r="CD535" s="334">
        <v>1</v>
      </c>
      <c r="CE535" s="334">
        <v>0.97</v>
      </c>
      <c r="CG535" s="333">
        <v>40</v>
      </c>
      <c r="CH535" s="334">
        <v>1</v>
      </c>
      <c r="CI535" s="334">
        <v>1</v>
      </c>
      <c r="CJ535" s="335">
        <v>0.98</v>
      </c>
      <c r="CK535" s="334">
        <v>0.94</v>
      </c>
      <c r="CL535" s="334">
        <v>0.88</v>
      </c>
      <c r="CN535" s="333">
        <v>40</v>
      </c>
      <c r="CO535" s="334">
        <v>1</v>
      </c>
      <c r="CP535" s="334">
        <v>0.99</v>
      </c>
      <c r="CQ535" s="335">
        <v>0.96</v>
      </c>
      <c r="CR535" s="334">
        <v>0.91</v>
      </c>
      <c r="CS535" s="334">
        <v>0.84</v>
      </c>
    </row>
    <row r="536" spans="3:97" x14ac:dyDescent="0.25">
      <c r="C536" s="333">
        <v>150</v>
      </c>
      <c r="D536" s="334">
        <v>0.9</v>
      </c>
      <c r="E536" s="334">
        <v>0.86</v>
      </c>
      <c r="F536" s="334">
        <v>0.79</v>
      </c>
      <c r="G536" s="335">
        <v>0.71</v>
      </c>
      <c r="H536" s="334">
        <v>0.62</v>
      </c>
      <c r="I536" s="334">
        <v>0.53</v>
      </c>
      <c r="J536" s="334">
        <v>0.46</v>
      </c>
      <c r="K536" s="334">
        <v>0.39</v>
      </c>
      <c r="L536" s="334">
        <v>0.34</v>
      </c>
      <c r="M536" s="334">
        <v>0.28999999999999998</v>
      </c>
      <c r="O536" s="333">
        <v>50</v>
      </c>
      <c r="P536" s="334">
        <v>1</v>
      </c>
      <c r="Q536" s="334">
        <v>1</v>
      </c>
      <c r="R536" s="335">
        <v>0.98</v>
      </c>
      <c r="S536" s="334">
        <v>0.94</v>
      </c>
      <c r="T536" s="334">
        <v>0.88</v>
      </c>
      <c r="V536" s="333">
        <v>50</v>
      </c>
      <c r="W536" s="334">
        <v>1</v>
      </c>
      <c r="X536" s="334">
        <v>1.01</v>
      </c>
      <c r="Y536" s="335">
        <v>1.01</v>
      </c>
      <c r="Z536" s="334">
        <v>0.98</v>
      </c>
      <c r="AA536" s="334">
        <v>0.94</v>
      </c>
      <c r="AC536" s="333">
        <v>50</v>
      </c>
      <c r="AD536" s="334">
        <v>1</v>
      </c>
      <c r="AE536" s="334">
        <v>1.04</v>
      </c>
      <c r="AF536" s="335">
        <v>1.06</v>
      </c>
      <c r="AG536" s="334">
        <v>1.06</v>
      </c>
      <c r="AH536" s="334">
        <v>1.03</v>
      </c>
      <c r="AJ536" s="333">
        <v>50</v>
      </c>
      <c r="AK536" s="334">
        <v>1</v>
      </c>
      <c r="AL536" s="334">
        <v>1.08</v>
      </c>
      <c r="AM536" s="335">
        <v>1.1299999999999999</v>
      </c>
      <c r="AN536" s="334">
        <v>1.1499999999999999</v>
      </c>
      <c r="AO536" s="334">
        <v>1.1499999999999999</v>
      </c>
      <c r="AQ536" s="333">
        <v>50</v>
      </c>
      <c r="AR536" s="334">
        <v>1</v>
      </c>
      <c r="AS536" s="334">
        <v>1.1100000000000001</v>
      </c>
      <c r="AT536" s="335">
        <v>1.19</v>
      </c>
      <c r="AU536" s="334">
        <v>1.24</v>
      </c>
      <c r="AV536" s="334">
        <v>1.27</v>
      </c>
      <c r="AX536" s="333">
        <v>50</v>
      </c>
      <c r="AY536" s="334">
        <v>1</v>
      </c>
      <c r="AZ536" s="334">
        <v>1.1299999999999999</v>
      </c>
      <c r="BA536" s="335">
        <v>1.22</v>
      </c>
      <c r="BB536" s="334">
        <v>1.29</v>
      </c>
      <c r="BC536" s="334">
        <v>1.33</v>
      </c>
      <c r="BE536" s="333">
        <v>50</v>
      </c>
      <c r="BF536" s="334">
        <v>1</v>
      </c>
      <c r="BG536" s="334">
        <v>1.1100000000000001</v>
      </c>
      <c r="BH536" s="335">
        <v>1.2</v>
      </c>
      <c r="BI536" s="334">
        <v>1.27</v>
      </c>
      <c r="BJ536" s="334">
        <v>1.3</v>
      </c>
      <c r="BL536" s="333">
        <v>50</v>
      </c>
      <c r="BM536" s="334">
        <v>1</v>
      </c>
      <c r="BN536" s="334">
        <v>1.0900000000000001</v>
      </c>
      <c r="BO536" s="335">
        <v>1.1499999999999999</v>
      </c>
      <c r="BP536" s="334">
        <v>1.18</v>
      </c>
      <c r="BQ536" s="334">
        <v>1.19</v>
      </c>
      <c r="BS536" s="333">
        <v>50</v>
      </c>
      <c r="BT536" s="334">
        <v>1</v>
      </c>
      <c r="BU536" s="334">
        <v>1.05</v>
      </c>
      <c r="BV536" s="335">
        <v>1.08</v>
      </c>
      <c r="BW536" s="334">
        <v>1.08</v>
      </c>
      <c r="BX536" s="334">
        <v>1.06</v>
      </c>
      <c r="BZ536" s="333">
        <v>50</v>
      </c>
      <c r="CA536" s="334">
        <v>1</v>
      </c>
      <c r="CB536" s="334">
        <v>1.02</v>
      </c>
      <c r="CC536" s="335">
        <v>1.02</v>
      </c>
      <c r="CD536" s="334">
        <v>1</v>
      </c>
      <c r="CE536" s="334">
        <v>0.96</v>
      </c>
      <c r="CG536" s="333">
        <v>50</v>
      </c>
      <c r="CH536" s="334">
        <v>1</v>
      </c>
      <c r="CI536" s="334">
        <v>1</v>
      </c>
      <c r="CJ536" s="335">
        <v>0.98</v>
      </c>
      <c r="CK536" s="334">
        <v>0.94</v>
      </c>
      <c r="CL536" s="334">
        <v>0.89</v>
      </c>
      <c r="CN536" s="333">
        <v>50</v>
      </c>
      <c r="CO536" s="334">
        <v>1</v>
      </c>
      <c r="CP536" s="334">
        <v>0.99</v>
      </c>
      <c r="CQ536" s="335">
        <v>0.96</v>
      </c>
      <c r="CR536" s="334">
        <v>0.92</v>
      </c>
      <c r="CS536" s="334">
        <v>0.86</v>
      </c>
    </row>
    <row r="537" spans="3:97" x14ac:dyDescent="0.25">
      <c r="C537" s="333">
        <v>160</v>
      </c>
      <c r="D537" s="334">
        <v>0.9</v>
      </c>
      <c r="E537" s="334">
        <v>0.85</v>
      </c>
      <c r="F537" s="334">
        <v>0.78</v>
      </c>
      <c r="G537" s="335">
        <v>0.69</v>
      </c>
      <c r="H537" s="334">
        <v>0.6</v>
      </c>
      <c r="I537" s="334">
        <v>0.5</v>
      </c>
      <c r="J537" s="334">
        <v>0.42</v>
      </c>
      <c r="K537" s="334">
        <v>0.36</v>
      </c>
      <c r="L537" s="334">
        <v>0.3</v>
      </c>
      <c r="M537" s="334">
        <v>0.26</v>
      </c>
      <c r="O537" s="333">
        <v>60</v>
      </c>
      <c r="P537" s="334">
        <v>1</v>
      </c>
      <c r="Q537" s="334">
        <v>1</v>
      </c>
      <c r="R537" s="335">
        <v>0.98</v>
      </c>
      <c r="S537" s="334">
        <v>0.95</v>
      </c>
      <c r="T537" s="334">
        <v>0.9</v>
      </c>
      <c r="V537" s="333">
        <v>60</v>
      </c>
      <c r="W537" s="334">
        <v>1</v>
      </c>
      <c r="X537" s="334">
        <v>1.01</v>
      </c>
      <c r="Y537" s="335">
        <v>1.01</v>
      </c>
      <c r="Z537" s="334">
        <v>0.98</v>
      </c>
      <c r="AA537" s="334">
        <v>0.94</v>
      </c>
      <c r="AC537" s="333">
        <v>60</v>
      </c>
      <c r="AD537" s="334">
        <v>1</v>
      </c>
      <c r="AE537" s="334">
        <v>1.03</v>
      </c>
      <c r="AF537" s="335">
        <v>1.05</v>
      </c>
      <c r="AG537" s="334">
        <v>1.04</v>
      </c>
      <c r="AH537" s="334">
        <v>1.02</v>
      </c>
      <c r="AJ537" s="333">
        <v>60</v>
      </c>
      <c r="AK537" s="334">
        <v>1</v>
      </c>
      <c r="AL537" s="334">
        <v>1.06</v>
      </c>
      <c r="AM537" s="335">
        <v>1.1000000000000001</v>
      </c>
      <c r="AN537" s="334">
        <v>1.1100000000000001</v>
      </c>
      <c r="AO537" s="334">
        <v>1.1100000000000001</v>
      </c>
      <c r="AQ537" s="333">
        <v>60</v>
      </c>
      <c r="AR537" s="334">
        <v>1</v>
      </c>
      <c r="AS537" s="334">
        <v>1.0900000000000001</v>
      </c>
      <c r="AT537" s="335">
        <v>1.1399999999999999</v>
      </c>
      <c r="AU537" s="334">
        <v>1.18</v>
      </c>
      <c r="AV537" s="334">
        <v>1.2</v>
      </c>
      <c r="AX537" s="333">
        <v>60</v>
      </c>
      <c r="AY537" s="334">
        <v>1</v>
      </c>
      <c r="AZ537" s="334">
        <v>1.1000000000000001</v>
      </c>
      <c r="BA537" s="335">
        <v>1.17</v>
      </c>
      <c r="BB537" s="334">
        <v>1.22</v>
      </c>
      <c r="BC537" s="334">
        <v>1.24</v>
      </c>
      <c r="BE537" s="333">
        <v>60</v>
      </c>
      <c r="BF537" s="334">
        <v>1</v>
      </c>
      <c r="BG537" s="334">
        <v>1.0900000000000001</v>
      </c>
      <c r="BH537" s="335">
        <v>1.1599999999999999</v>
      </c>
      <c r="BI537" s="334">
        <v>1.2</v>
      </c>
      <c r="BJ537" s="334">
        <v>1.21</v>
      </c>
      <c r="BL537" s="333">
        <v>60</v>
      </c>
      <c r="BM537" s="334">
        <v>1</v>
      </c>
      <c r="BN537" s="334">
        <v>1.07</v>
      </c>
      <c r="BO537" s="335">
        <v>1.1100000000000001</v>
      </c>
      <c r="BP537" s="334">
        <v>1.1399999999999999</v>
      </c>
      <c r="BQ537" s="334">
        <v>1.1299999999999999</v>
      </c>
      <c r="BS537" s="333">
        <v>60</v>
      </c>
      <c r="BT537" s="334">
        <v>1</v>
      </c>
      <c r="BU537" s="334">
        <v>1.04</v>
      </c>
      <c r="BV537" s="335">
        <v>1.06</v>
      </c>
      <c r="BW537" s="334">
        <v>1.06</v>
      </c>
      <c r="BX537" s="334">
        <v>1.03</v>
      </c>
      <c r="BZ537" s="333">
        <v>60</v>
      </c>
      <c r="CA537" s="334">
        <v>1</v>
      </c>
      <c r="CB537" s="334">
        <v>1.02</v>
      </c>
      <c r="CC537" s="335">
        <v>1.02</v>
      </c>
      <c r="CD537" s="334">
        <v>0.99</v>
      </c>
      <c r="CE537" s="334">
        <v>0.95</v>
      </c>
      <c r="CG537" s="333">
        <v>60</v>
      </c>
      <c r="CH537" s="334">
        <v>1</v>
      </c>
      <c r="CI537" s="334">
        <v>1</v>
      </c>
      <c r="CJ537" s="335">
        <v>0.99</v>
      </c>
      <c r="CK537" s="334">
        <v>0.95</v>
      </c>
      <c r="CL537" s="334">
        <v>0.9</v>
      </c>
      <c r="CN537" s="333">
        <v>60</v>
      </c>
      <c r="CO537" s="334">
        <v>1</v>
      </c>
      <c r="CP537" s="334">
        <v>1</v>
      </c>
      <c r="CQ537" s="335">
        <v>0.97</v>
      </c>
      <c r="CR537" s="334">
        <v>0.93</v>
      </c>
      <c r="CS537" s="334">
        <v>0.88</v>
      </c>
    </row>
    <row r="538" spans="3:97" x14ac:dyDescent="0.25">
      <c r="C538" s="333">
        <v>170</v>
      </c>
      <c r="D538" s="334">
        <v>0.9</v>
      </c>
      <c r="E538" s="334">
        <v>0.85</v>
      </c>
      <c r="F538" s="334">
        <v>0.77</v>
      </c>
      <c r="G538" s="335">
        <v>0.68</v>
      </c>
      <c r="H538" s="334">
        <v>0.57999999999999996</v>
      </c>
      <c r="I538" s="334">
        <v>0.48</v>
      </c>
      <c r="J538" s="334">
        <v>0.4</v>
      </c>
      <c r="K538" s="334">
        <v>0.33</v>
      </c>
      <c r="L538" s="334">
        <v>0.28000000000000003</v>
      </c>
      <c r="M538" s="334">
        <v>0.24</v>
      </c>
      <c r="O538" s="333">
        <v>70</v>
      </c>
      <c r="P538" s="334">
        <v>1</v>
      </c>
      <c r="Q538" s="334">
        <v>1</v>
      </c>
      <c r="R538" s="335">
        <v>0.99</v>
      </c>
      <c r="S538" s="334">
        <v>0.96</v>
      </c>
      <c r="T538" s="334">
        <v>0.92</v>
      </c>
      <c r="V538" s="333">
        <v>70</v>
      </c>
      <c r="W538" s="334">
        <v>1</v>
      </c>
      <c r="X538" s="334">
        <v>1.01</v>
      </c>
      <c r="Y538" s="335">
        <v>1</v>
      </c>
      <c r="Z538" s="334">
        <v>0.98</v>
      </c>
      <c r="AA538" s="334">
        <v>0.94</v>
      </c>
      <c r="AC538" s="333">
        <v>70</v>
      </c>
      <c r="AD538" s="334">
        <v>1</v>
      </c>
      <c r="AE538" s="334">
        <v>1.03</v>
      </c>
      <c r="AF538" s="335">
        <v>1.03</v>
      </c>
      <c r="AG538" s="334">
        <v>1.02</v>
      </c>
      <c r="AH538" s="334">
        <v>0.99</v>
      </c>
      <c r="AJ538" s="333">
        <v>70</v>
      </c>
      <c r="AK538" s="334">
        <v>1</v>
      </c>
      <c r="AL538" s="334">
        <v>1.04</v>
      </c>
      <c r="AM538" s="335">
        <v>1.06</v>
      </c>
      <c r="AN538" s="334">
        <v>1.07</v>
      </c>
      <c r="AO538" s="334">
        <v>1.05</v>
      </c>
      <c r="AQ538" s="333">
        <v>70</v>
      </c>
      <c r="AR538" s="334">
        <v>1</v>
      </c>
      <c r="AS538" s="334">
        <v>1.06</v>
      </c>
      <c r="AT538" s="335">
        <v>1.1000000000000001</v>
      </c>
      <c r="AU538" s="334">
        <v>1.1200000000000001</v>
      </c>
      <c r="AV538" s="334">
        <v>1.1100000000000001</v>
      </c>
      <c r="AX538" s="333">
        <v>70</v>
      </c>
      <c r="AY538" s="334">
        <v>1</v>
      </c>
      <c r="AZ538" s="334">
        <v>1.07</v>
      </c>
      <c r="BA538" s="335">
        <v>1.1200000000000001</v>
      </c>
      <c r="BB538" s="334">
        <v>1.1499999999999999</v>
      </c>
      <c r="BC538" s="334">
        <v>1.1499999999999999</v>
      </c>
      <c r="BE538" s="333">
        <v>70</v>
      </c>
      <c r="BF538" s="334">
        <v>1</v>
      </c>
      <c r="BG538" s="334">
        <v>1.06</v>
      </c>
      <c r="BH538" s="335">
        <v>1.1000000000000001</v>
      </c>
      <c r="BI538" s="334">
        <v>1.1299999999999999</v>
      </c>
      <c r="BJ538" s="334">
        <v>1.1200000000000001</v>
      </c>
      <c r="BL538" s="333">
        <v>70</v>
      </c>
      <c r="BM538" s="334">
        <v>1</v>
      </c>
      <c r="BN538" s="334">
        <v>1.05</v>
      </c>
      <c r="BO538" s="335">
        <v>1.07</v>
      </c>
      <c r="BP538" s="334">
        <v>1.08</v>
      </c>
      <c r="BQ538" s="334">
        <v>1.07</v>
      </c>
      <c r="BS538" s="333">
        <v>70</v>
      </c>
      <c r="BT538" s="334">
        <v>1</v>
      </c>
      <c r="BU538" s="334">
        <v>1.03</v>
      </c>
      <c r="BV538" s="335">
        <v>1.03</v>
      </c>
      <c r="BW538" s="334">
        <v>1.03</v>
      </c>
      <c r="BX538" s="334">
        <v>1</v>
      </c>
      <c r="BZ538" s="333">
        <v>70</v>
      </c>
      <c r="CA538" s="334">
        <v>1</v>
      </c>
      <c r="CB538" s="334">
        <v>1.01</v>
      </c>
      <c r="CC538" s="335">
        <v>1.01</v>
      </c>
      <c r="CD538" s="334">
        <v>0.98</v>
      </c>
      <c r="CE538" s="334">
        <v>0.94</v>
      </c>
      <c r="CG538" s="333">
        <v>70</v>
      </c>
      <c r="CH538" s="334">
        <v>1</v>
      </c>
      <c r="CI538" s="334">
        <v>1</v>
      </c>
      <c r="CJ538" s="335">
        <v>0.99</v>
      </c>
      <c r="CK538" s="334">
        <v>0.96</v>
      </c>
      <c r="CL538" s="334">
        <v>0.91</v>
      </c>
      <c r="CN538" s="333">
        <v>70</v>
      </c>
      <c r="CO538" s="334">
        <v>1</v>
      </c>
      <c r="CP538" s="334">
        <v>1</v>
      </c>
      <c r="CQ538" s="335">
        <v>0.98</v>
      </c>
      <c r="CR538" s="334">
        <v>0.95</v>
      </c>
      <c r="CS538" s="334">
        <v>0.9</v>
      </c>
    </row>
    <row r="539" spans="3:97" x14ac:dyDescent="0.25">
      <c r="C539" s="333">
        <v>180</v>
      </c>
      <c r="D539" s="334">
        <v>0.9</v>
      </c>
      <c r="E539" s="334">
        <v>0.84</v>
      </c>
      <c r="F539" s="334">
        <v>0.77</v>
      </c>
      <c r="G539" s="335">
        <v>0.67</v>
      </c>
      <c r="H539" s="334">
        <v>0.56999999999999995</v>
      </c>
      <c r="I539" s="334">
        <v>0.47</v>
      </c>
      <c r="J539" s="334">
        <v>0.4</v>
      </c>
      <c r="K539" s="334">
        <v>0.33</v>
      </c>
      <c r="L539" s="334">
        <v>0.27</v>
      </c>
      <c r="M539" s="334">
        <v>0.22</v>
      </c>
      <c r="O539" s="333">
        <v>80</v>
      </c>
      <c r="P539" s="334">
        <v>1</v>
      </c>
      <c r="Q539" s="334">
        <v>1.01</v>
      </c>
      <c r="R539" s="335">
        <v>1</v>
      </c>
      <c r="S539" s="334">
        <v>0.97</v>
      </c>
      <c r="T539" s="334">
        <v>0.93</v>
      </c>
      <c r="V539" s="333">
        <v>80</v>
      </c>
      <c r="W539" s="334">
        <v>1</v>
      </c>
      <c r="X539" s="334">
        <v>1.01</v>
      </c>
      <c r="Y539" s="335">
        <v>1</v>
      </c>
      <c r="Z539" s="334">
        <v>0.97</v>
      </c>
      <c r="AA539" s="334">
        <v>0.94</v>
      </c>
      <c r="AC539" s="333">
        <v>80</v>
      </c>
      <c r="AD539" s="334">
        <v>1</v>
      </c>
      <c r="AE539" s="334">
        <v>1.02</v>
      </c>
      <c r="AF539" s="335">
        <v>1.01</v>
      </c>
      <c r="AG539" s="334">
        <v>1</v>
      </c>
      <c r="AH539" s="334">
        <v>0.96</v>
      </c>
      <c r="AJ539" s="333">
        <v>80</v>
      </c>
      <c r="AK539" s="334">
        <v>1</v>
      </c>
      <c r="AL539" s="334">
        <v>1.02</v>
      </c>
      <c r="AM539" s="335">
        <v>1.03</v>
      </c>
      <c r="AN539" s="334">
        <v>1.02</v>
      </c>
      <c r="AO539" s="334">
        <v>1</v>
      </c>
      <c r="AQ539" s="333">
        <v>80</v>
      </c>
      <c r="AR539" s="334">
        <v>1</v>
      </c>
      <c r="AS539" s="334">
        <v>1.03</v>
      </c>
      <c r="AT539" s="335">
        <v>1.05</v>
      </c>
      <c r="AU539" s="334">
        <v>1.05</v>
      </c>
      <c r="AV539" s="334">
        <v>1.03</v>
      </c>
      <c r="AX539" s="333">
        <v>80</v>
      </c>
      <c r="AY539" s="334">
        <v>1</v>
      </c>
      <c r="AZ539" s="334">
        <v>1.04</v>
      </c>
      <c r="BA539" s="335">
        <v>1.06</v>
      </c>
      <c r="BB539" s="334">
        <v>1.06</v>
      </c>
      <c r="BC539" s="334">
        <v>1.05</v>
      </c>
      <c r="BE539" s="333">
        <v>80</v>
      </c>
      <c r="BF539" s="334">
        <v>1</v>
      </c>
      <c r="BG539" s="334">
        <v>1.03</v>
      </c>
      <c r="BH539" s="335">
        <v>1.05</v>
      </c>
      <c r="BI539" s="334">
        <v>1.05</v>
      </c>
      <c r="BJ539" s="334">
        <v>1.03</v>
      </c>
      <c r="BL539" s="333">
        <v>80</v>
      </c>
      <c r="BM539" s="334">
        <v>1</v>
      </c>
      <c r="BN539" s="334">
        <v>1.03</v>
      </c>
      <c r="BO539" s="335">
        <v>1.03</v>
      </c>
      <c r="BP539" s="334">
        <v>1.03</v>
      </c>
      <c r="BQ539" s="334">
        <v>1.01</v>
      </c>
      <c r="BS539" s="333">
        <v>80</v>
      </c>
      <c r="BT539" s="334">
        <v>1</v>
      </c>
      <c r="BU539" s="334">
        <v>1.01</v>
      </c>
      <c r="BV539" s="335">
        <v>1.01</v>
      </c>
      <c r="BW539" s="334">
        <v>0.99</v>
      </c>
      <c r="BX539" s="334">
        <v>0.96</v>
      </c>
      <c r="BZ539" s="333">
        <v>80</v>
      </c>
      <c r="CA539" s="334">
        <v>1</v>
      </c>
      <c r="CB539" s="334">
        <v>1.01</v>
      </c>
      <c r="CC539" s="335">
        <v>1</v>
      </c>
      <c r="CD539" s="334">
        <v>0.97</v>
      </c>
      <c r="CE539" s="334">
        <v>0.93</v>
      </c>
      <c r="CG539" s="333">
        <v>80</v>
      </c>
      <c r="CH539" s="334">
        <v>1</v>
      </c>
      <c r="CI539" s="334">
        <v>1</v>
      </c>
      <c r="CJ539" s="335">
        <v>0.99</v>
      </c>
      <c r="CK539" s="334">
        <v>0.96</v>
      </c>
      <c r="CL539" s="334">
        <v>0.92</v>
      </c>
      <c r="CN539" s="333">
        <v>80</v>
      </c>
      <c r="CO539" s="334">
        <v>1</v>
      </c>
      <c r="CP539" s="334">
        <v>1</v>
      </c>
      <c r="CQ539" s="335">
        <v>0.99</v>
      </c>
      <c r="CR539" s="334">
        <v>0.96</v>
      </c>
      <c r="CS539" s="334">
        <v>0.91</v>
      </c>
    </row>
    <row r="540" spans="3:97" x14ac:dyDescent="0.25">
      <c r="C540" s="333">
        <v>190</v>
      </c>
      <c r="D540" s="334">
        <v>0.9</v>
      </c>
      <c r="E540" s="334">
        <v>0.84</v>
      </c>
      <c r="F540" s="334">
        <v>0.77</v>
      </c>
      <c r="G540" s="335">
        <v>0.68</v>
      </c>
      <c r="H540" s="334">
        <v>0.56999999999999995</v>
      </c>
      <c r="I540" s="334">
        <v>0.48</v>
      </c>
      <c r="J540" s="334">
        <v>0.4</v>
      </c>
      <c r="K540" s="334">
        <v>0.33</v>
      </c>
      <c r="L540" s="334">
        <v>0.27</v>
      </c>
      <c r="M540" s="334">
        <v>0.23</v>
      </c>
      <c r="O540" s="333">
        <v>90</v>
      </c>
      <c r="P540" s="334">
        <v>1</v>
      </c>
      <c r="Q540" s="334">
        <v>1.01</v>
      </c>
      <c r="R540" s="335">
        <v>1</v>
      </c>
      <c r="S540" s="334">
        <v>0.97</v>
      </c>
      <c r="T540" s="334">
        <v>0.93</v>
      </c>
      <c r="V540" s="333">
        <v>90</v>
      </c>
      <c r="W540" s="334">
        <v>1</v>
      </c>
      <c r="X540" s="334">
        <v>1.01</v>
      </c>
      <c r="Y540" s="335">
        <v>1</v>
      </c>
      <c r="Z540" s="334">
        <v>0.97</v>
      </c>
      <c r="AA540" s="334">
        <v>0.93</v>
      </c>
      <c r="AC540" s="333">
        <v>90</v>
      </c>
      <c r="AD540" s="334">
        <v>1</v>
      </c>
      <c r="AE540" s="334">
        <v>1</v>
      </c>
      <c r="AF540" s="335">
        <v>1</v>
      </c>
      <c r="AG540" s="334">
        <v>0.97</v>
      </c>
      <c r="AH540" s="334">
        <v>0.93</v>
      </c>
      <c r="AJ540" s="333">
        <v>90</v>
      </c>
      <c r="AK540" s="334">
        <v>1</v>
      </c>
      <c r="AL540" s="334">
        <v>1</v>
      </c>
      <c r="AM540" s="335">
        <v>1</v>
      </c>
      <c r="AN540" s="334">
        <v>0.97</v>
      </c>
      <c r="AO540" s="334">
        <v>0.94</v>
      </c>
      <c r="AQ540" s="333">
        <v>90</v>
      </c>
      <c r="AR540" s="334">
        <v>1</v>
      </c>
      <c r="AS540" s="334">
        <v>1.01</v>
      </c>
      <c r="AT540" s="335">
        <v>1</v>
      </c>
      <c r="AU540" s="334">
        <v>0.97</v>
      </c>
      <c r="AV540" s="334">
        <v>0.94</v>
      </c>
      <c r="AX540" s="333">
        <v>90</v>
      </c>
      <c r="AY540" s="334">
        <v>1</v>
      </c>
      <c r="AZ540" s="334">
        <v>1.01</v>
      </c>
      <c r="BA540" s="335">
        <v>1</v>
      </c>
      <c r="BB540" s="334">
        <v>0.97</v>
      </c>
      <c r="BC540" s="334">
        <v>0.95</v>
      </c>
      <c r="BE540" s="333">
        <v>90</v>
      </c>
      <c r="BF540" s="334">
        <v>1</v>
      </c>
      <c r="BG540" s="334">
        <v>1</v>
      </c>
      <c r="BH540" s="335">
        <v>0.99</v>
      </c>
      <c r="BI540" s="334">
        <v>0.96</v>
      </c>
      <c r="BJ540" s="334">
        <v>0.94</v>
      </c>
      <c r="BL540" s="333">
        <v>90</v>
      </c>
      <c r="BM540" s="334">
        <v>1</v>
      </c>
      <c r="BN540" s="334">
        <v>1.01</v>
      </c>
      <c r="BO540" s="335">
        <v>0.99</v>
      </c>
      <c r="BP540" s="334">
        <v>0.96</v>
      </c>
      <c r="BQ540" s="334">
        <v>0.93</v>
      </c>
      <c r="BS540" s="333">
        <v>90</v>
      </c>
      <c r="BT540" s="334">
        <v>1</v>
      </c>
      <c r="BU540" s="334">
        <v>1</v>
      </c>
      <c r="BV540" s="335">
        <v>0.98</v>
      </c>
      <c r="BW540" s="334">
        <v>0.96</v>
      </c>
      <c r="BX540" s="334">
        <v>0.92</v>
      </c>
      <c r="BZ540" s="333">
        <v>90</v>
      </c>
      <c r="CA540" s="334">
        <v>1</v>
      </c>
      <c r="CB540" s="334">
        <v>1</v>
      </c>
      <c r="CC540" s="335">
        <v>0.98</v>
      </c>
      <c r="CD540" s="334">
        <v>0.96</v>
      </c>
      <c r="CE540" s="334">
        <v>0.92</v>
      </c>
      <c r="CG540" s="333">
        <v>90</v>
      </c>
      <c r="CH540" s="334">
        <v>1</v>
      </c>
      <c r="CI540" s="334">
        <v>1</v>
      </c>
      <c r="CJ540" s="335">
        <v>0.99</v>
      </c>
      <c r="CK540" s="334">
        <v>0.96</v>
      </c>
      <c r="CL540" s="334">
        <v>0.92</v>
      </c>
      <c r="CN540" s="333">
        <v>90</v>
      </c>
      <c r="CO540" s="334">
        <v>1</v>
      </c>
      <c r="CP540" s="334">
        <v>1.01</v>
      </c>
      <c r="CQ540" s="335">
        <v>1</v>
      </c>
      <c r="CR540" s="334">
        <v>0.97</v>
      </c>
      <c r="CS540" s="334">
        <v>0.92</v>
      </c>
    </row>
    <row r="541" spans="3:97" x14ac:dyDescent="0.25">
      <c r="C541" s="333">
        <v>200</v>
      </c>
      <c r="D541" s="334">
        <v>0.9</v>
      </c>
      <c r="E541" s="334">
        <v>0.85</v>
      </c>
      <c r="F541" s="334">
        <v>0.78</v>
      </c>
      <c r="G541" s="335">
        <v>0.69</v>
      </c>
      <c r="H541" s="334">
        <v>0.59</v>
      </c>
      <c r="I541" s="334">
        <v>0.49</v>
      </c>
      <c r="J541" s="334">
        <v>0.41</v>
      </c>
      <c r="K541" s="334">
        <v>0.34</v>
      </c>
      <c r="L541" s="334">
        <v>0.28999999999999998</v>
      </c>
      <c r="M541" s="334">
        <v>0.25</v>
      </c>
    </row>
    <row r="542" spans="3:97" x14ac:dyDescent="0.25">
      <c r="C542" s="333">
        <v>210</v>
      </c>
      <c r="D542" s="334">
        <v>0.9</v>
      </c>
      <c r="E542" s="334">
        <v>0.85</v>
      </c>
      <c r="F542" s="334">
        <v>0.78</v>
      </c>
      <c r="G542" s="335">
        <v>0.7</v>
      </c>
      <c r="H542" s="334">
        <v>0.61</v>
      </c>
      <c r="I542" s="334">
        <v>0.52</v>
      </c>
      <c r="J542" s="334">
        <v>0.44</v>
      </c>
      <c r="K542" s="334">
        <v>0.38</v>
      </c>
      <c r="L542" s="334">
        <v>0.33</v>
      </c>
      <c r="M542" s="334">
        <v>0.28999999999999998</v>
      </c>
    </row>
    <row r="543" spans="3:97" x14ac:dyDescent="0.25">
      <c r="C543" s="333">
        <v>220</v>
      </c>
      <c r="D543" s="334">
        <v>0.9</v>
      </c>
      <c r="E543" s="334">
        <v>0.86</v>
      </c>
      <c r="F543" s="334">
        <v>0.8</v>
      </c>
      <c r="G543" s="335">
        <v>0.72</v>
      </c>
      <c r="H543" s="334">
        <v>0.64</v>
      </c>
      <c r="I543" s="334">
        <v>0.56000000000000005</v>
      </c>
      <c r="J543" s="334">
        <v>0.49</v>
      </c>
      <c r="K543" s="334">
        <v>0.42</v>
      </c>
      <c r="L543" s="334">
        <v>0.37</v>
      </c>
      <c r="M543" s="334">
        <v>0.32</v>
      </c>
    </row>
    <row r="544" spans="3:97" x14ac:dyDescent="0.25">
      <c r="C544" s="333">
        <v>230</v>
      </c>
      <c r="D544" s="334">
        <v>0.9</v>
      </c>
      <c r="E544" s="334">
        <v>0.87</v>
      </c>
      <c r="F544" s="334">
        <v>0.81</v>
      </c>
      <c r="G544" s="335">
        <v>0.74</v>
      </c>
      <c r="H544" s="334">
        <v>0.67</v>
      </c>
      <c r="I544" s="334">
        <v>0.6</v>
      </c>
      <c r="J544" s="334">
        <v>0.53</v>
      </c>
      <c r="K544" s="334">
        <v>0.47</v>
      </c>
      <c r="L544" s="334">
        <v>0.42</v>
      </c>
      <c r="M544" s="334">
        <v>0.37</v>
      </c>
    </row>
    <row r="545" spans="3:97" x14ac:dyDescent="0.25">
      <c r="C545" s="333">
        <v>240</v>
      </c>
      <c r="D545" s="334">
        <v>0.9</v>
      </c>
      <c r="E545" s="334">
        <v>0.87</v>
      </c>
      <c r="F545" s="334">
        <v>0.83</v>
      </c>
      <c r="G545" s="335">
        <v>0.77</v>
      </c>
      <c r="H545" s="334">
        <v>0.71</v>
      </c>
      <c r="I545" s="334">
        <v>0.64</v>
      </c>
      <c r="J545" s="334">
        <v>0.57999999999999996</v>
      </c>
      <c r="K545" s="334">
        <v>0.52</v>
      </c>
      <c r="L545" s="334">
        <v>0.46</v>
      </c>
      <c r="M545" s="334">
        <v>0.41</v>
      </c>
    </row>
    <row r="546" spans="3:97" x14ac:dyDescent="0.25">
      <c r="C546" s="333">
        <v>250</v>
      </c>
      <c r="D546" s="334">
        <v>0.9</v>
      </c>
      <c r="E546" s="334">
        <v>0.88</v>
      </c>
      <c r="F546" s="334">
        <v>0.84</v>
      </c>
      <c r="G546" s="335">
        <v>0.8</v>
      </c>
      <c r="H546" s="334">
        <v>0.75</v>
      </c>
      <c r="I546" s="334">
        <v>0.69</v>
      </c>
      <c r="J546" s="334">
        <v>0.63</v>
      </c>
      <c r="K546" s="334">
        <v>0.56999999999999995</v>
      </c>
      <c r="L546" s="334">
        <v>0.51</v>
      </c>
      <c r="M546" s="334">
        <v>0.45</v>
      </c>
    </row>
    <row r="547" spans="3:97" x14ac:dyDescent="0.25">
      <c r="C547" s="333">
        <v>260</v>
      </c>
      <c r="D547" s="334">
        <v>0.9</v>
      </c>
      <c r="E547" s="334">
        <v>0.89</v>
      </c>
      <c r="F547" s="334">
        <v>0.87</v>
      </c>
      <c r="G547" s="335">
        <v>0.83</v>
      </c>
      <c r="H547" s="334">
        <v>0.78</v>
      </c>
      <c r="I547" s="334">
        <v>0.73</v>
      </c>
      <c r="J547" s="334">
        <v>0.67</v>
      </c>
      <c r="K547" s="334">
        <v>0.61</v>
      </c>
      <c r="L547" s="334">
        <v>0.55000000000000004</v>
      </c>
      <c r="M547" s="334">
        <v>0.49</v>
      </c>
    </row>
    <row r="548" spans="3:97" x14ac:dyDescent="0.25">
      <c r="C548" s="333">
        <v>270</v>
      </c>
      <c r="D548" s="334">
        <v>0.9</v>
      </c>
      <c r="E548" s="334">
        <v>0.9</v>
      </c>
      <c r="F548" s="334">
        <v>0.89</v>
      </c>
      <c r="G548" s="335">
        <v>0.85</v>
      </c>
      <c r="H548" s="334">
        <v>0.81</v>
      </c>
      <c r="I548" s="334">
        <v>0.77</v>
      </c>
      <c r="J548" s="334">
        <v>0.71</v>
      </c>
      <c r="K548" s="334">
        <v>0.65</v>
      </c>
      <c r="L548" s="334">
        <v>0.59</v>
      </c>
      <c r="M548" s="334">
        <v>0.52</v>
      </c>
    </row>
    <row r="549" spans="3:97" x14ac:dyDescent="0.25">
      <c r="C549" s="333">
        <v>280</v>
      </c>
      <c r="D549" s="334">
        <v>0.9</v>
      </c>
      <c r="E549" s="334">
        <v>0.91</v>
      </c>
      <c r="F549" s="334">
        <v>0.9</v>
      </c>
      <c r="G549" s="335">
        <v>0.88</v>
      </c>
      <c r="H549" s="334">
        <v>0.84</v>
      </c>
      <c r="I549" s="334">
        <v>0.8</v>
      </c>
      <c r="J549" s="334">
        <v>0.75</v>
      </c>
      <c r="K549" s="334">
        <v>0.69</v>
      </c>
      <c r="L549" s="334">
        <v>0.62</v>
      </c>
      <c r="M549" s="334">
        <v>0.55000000000000004</v>
      </c>
    </row>
    <row r="550" spans="3:97" x14ac:dyDescent="0.25">
      <c r="C550" s="333">
        <v>290</v>
      </c>
      <c r="D550" s="334">
        <v>0.9</v>
      </c>
      <c r="E550" s="334">
        <v>0.92</v>
      </c>
      <c r="F550" s="334">
        <v>0.92</v>
      </c>
      <c r="G550" s="335">
        <v>0.91</v>
      </c>
      <c r="H550" s="334">
        <v>0.87</v>
      </c>
      <c r="I550" s="334">
        <v>0.83</v>
      </c>
      <c r="J550" s="334">
        <v>0.78</v>
      </c>
      <c r="K550" s="334">
        <v>0.71</v>
      </c>
      <c r="L550" s="334">
        <v>0.64</v>
      </c>
      <c r="M550" s="334">
        <v>0.56999999999999995</v>
      </c>
    </row>
    <row r="551" spans="3:97" x14ac:dyDescent="0.25">
      <c r="C551" s="333">
        <v>300</v>
      </c>
      <c r="D551" s="334">
        <v>0.9</v>
      </c>
      <c r="E551" s="334">
        <v>0.93</v>
      </c>
      <c r="F551" s="334">
        <v>0.94</v>
      </c>
      <c r="G551" s="335">
        <v>0.93</v>
      </c>
      <c r="H551" s="334">
        <v>0.9</v>
      </c>
      <c r="I551" s="334">
        <v>0.86</v>
      </c>
      <c r="J551" s="334">
        <v>0.8</v>
      </c>
      <c r="K551" s="334">
        <v>0.73</v>
      </c>
      <c r="L551" s="334">
        <v>0.66</v>
      </c>
      <c r="M551" s="334">
        <v>0.57999999999999996</v>
      </c>
    </row>
    <row r="552" spans="3:97" x14ac:dyDescent="0.25">
      <c r="C552" s="333">
        <v>310</v>
      </c>
      <c r="D552" s="334">
        <v>0.9</v>
      </c>
      <c r="E552" s="334">
        <v>0.94</v>
      </c>
      <c r="F552" s="334">
        <v>0.95</v>
      </c>
      <c r="G552" s="335">
        <v>0.95</v>
      </c>
      <c r="H552" s="334">
        <v>0.92</v>
      </c>
      <c r="I552" s="334">
        <v>0.88</v>
      </c>
      <c r="J552" s="334">
        <v>0.82</v>
      </c>
      <c r="K552" s="334">
        <v>0.75</v>
      </c>
      <c r="L552" s="334">
        <v>0.67</v>
      </c>
      <c r="M552" s="334">
        <v>0.57999999999999996</v>
      </c>
    </row>
    <row r="553" spans="3:97" x14ac:dyDescent="0.25">
      <c r="C553" s="333">
        <v>320</v>
      </c>
      <c r="D553" s="334">
        <v>0.9</v>
      </c>
      <c r="E553" s="334">
        <v>0.95</v>
      </c>
      <c r="F553" s="334">
        <v>0.97</v>
      </c>
      <c r="G553" s="335">
        <v>0.96</v>
      </c>
      <c r="H553" s="334">
        <v>0.94</v>
      </c>
      <c r="I553" s="334">
        <v>0.9</v>
      </c>
      <c r="J553" s="334">
        <v>0.84</v>
      </c>
      <c r="K553" s="334">
        <v>0.76</v>
      </c>
      <c r="L553" s="334">
        <v>0.68</v>
      </c>
      <c r="M553" s="334">
        <v>0.57999999999999996</v>
      </c>
    </row>
    <row r="554" spans="3:97" x14ac:dyDescent="0.25">
      <c r="C554" s="333">
        <v>330</v>
      </c>
      <c r="D554" s="334">
        <v>0.9</v>
      </c>
      <c r="E554" s="334">
        <v>0.95</v>
      </c>
      <c r="F554" s="334">
        <v>0.98</v>
      </c>
      <c r="G554" s="335">
        <v>0.98</v>
      </c>
      <c r="H554" s="334">
        <v>0.96</v>
      </c>
      <c r="I554" s="334">
        <v>0.91</v>
      </c>
      <c r="J554" s="334">
        <v>0.85</v>
      </c>
      <c r="K554" s="334">
        <v>0.77</v>
      </c>
      <c r="L554" s="334">
        <v>0.68</v>
      </c>
      <c r="M554" s="334">
        <v>0.57999999999999996</v>
      </c>
    </row>
    <row r="555" spans="3:97" x14ac:dyDescent="0.25">
      <c r="C555" s="333">
        <v>340</v>
      </c>
      <c r="D555" s="334">
        <v>0.9</v>
      </c>
      <c r="E555" s="334">
        <v>0.96</v>
      </c>
      <c r="F555" s="334">
        <v>0.98</v>
      </c>
      <c r="G555" s="335">
        <v>0.99</v>
      </c>
      <c r="H555" s="334">
        <v>0.97</v>
      </c>
      <c r="I555" s="334">
        <v>0.93</v>
      </c>
      <c r="J555" s="334">
        <v>0.86</v>
      </c>
      <c r="K555" s="334">
        <v>0.78</v>
      </c>
      <c r="L555" s="334">
        <v>0.68</v>
      </c>
      <c r="M555" s="334">
        <v>0.57999999999999996</v>
      </c>
    </row>
    <row r="556" spans="3:97" x14ac:dyDescent="0.25">
      <c r="C556" s="333">
        <v>350</v>
      </c>
      <c r="D556" s="334">
        <v>0.9</v>
      </c>
      <c r="E556" s="334">
        <v>0.96</v>
      </c>
      <c r="F556" s="334">
        <v>0.99</v>
      </c>
      <c r="G556" s="335">
        <v>1</v>
      </c>
      <c r="H556" s="334">
        <v>0.98</v>
      </c>
      <c r="I556" s="334">
        <v>0.93</v>
      </c>
      <c r="J556" s="334">
        <v>0.87</v>
      </c>
      <c r="K556" s="334">
        <v>0.78</v>
      </c>
      <c r="L556" s="334">
        <v>0.68</v>
      </c>
      <c r="M556" s="334">
        <v>0.56999999999999995</v>
      </c>
    </row>
    <row r="557" spans="3:97" x14ac:dyDescent="0.25">
      <c r="F557" s="260"/>
    </row>
    <row r="558" spans="3:97" x14ac:dyDescent="0.25">
      <c r="F558" s="260"/>
    </row>
    <row r="559" spans="3:97" x14ac:dyDescent="0.25">
      <c r="C559" s="415" t="s">
        <v>230</v>
      </c>
      <c r="D559" s="415"/>
      <c r="E559" s="415"/>
      <c r="F559" s="415"/>
      <c r="G559" s="415"/>
      <c r="H559" s="415"/>
      <c r="I559" s="415"/>
      <c r="J559" s="415"/>
      <c r="K559" s="415"/>
      <c r="L559" s="415"/>
      <c r="M559" s="415"/>
      <c r="O559" s="279" t="s">
        <v>502</v>
      </c>
    </row>
    <row r="560" spans="3:97" ht="15.75" customHeight="1" x14ac:dyDescent="0.25">
      <c r="C560" s="416" t="s">
        <v>221</v>
      </c>
      <c r="D560" s="416" t="s">
        <v>222</v>
      </c>
      <c r="E560" s="416"/>
      <c r="F560" s="416"/>
      <c r="G560" s="416"/>
      <c r="H560" s="416"/>
      <c r="I560" s="416"/>
      <c r="J560" s="416"/>
      <c r="K560" s="416"/>
      <c r="L560" s="416"/>
      <c r="M560" s="416"/>
      <c r="O560" s="415" t="str">
        <f>O559&amp;" - Janurary"</f>
        <v>PERTH - Janurary</v>
      </c>
      <c r="P560" s="415"/>
      <c r="Q560" s="415"/>
      <c r="R560" s="415"/>
      <c r="S560" s="415"/>
      <c r="T560" s="415"/>
      <c r="V560" s="415" t="str">
        <f>O559&amp;" - February"</f>
        <v>PERTH - February</v>
      </c>
      <c r="W560" s="415"/>
      <c r="X560" s="415"/>
      <c r="Y560" s="415"/>
      <c r="Z560" s="415"/>
      <c r="AA560" s="415"/>
      <c r="AC560" s="415" t="str">
        <f>O559&amp;" - March"</f>
        <v>PERTH - March</v>
      </c>
      <c r="AD560" s="415"/>
      <c r="AE560" s="415"/>
      <c r="AF560" s="415"/>
      <c r="AG560" s="415"/>
      <c r="AH560" s="415"/>
      <c r="AJ560" s="415" t="str">
        <f>O559&amp;" - April"</f>
        <v>PERTH - April</v>
      </c>
      <c r="AK560" s="415"/>
      <c r="AL560" s="415"/>
      <c r="AM560" s="415"/>
      <c r="AN560" s="415"/>
      <c r="AO560" s="415"/>
      <c r="AQ560" s="415" t="str">
        <f>O559&amp;" - May"</f>
        <v>PERTH - May</v>
      </c>
      <c r="AR560" s="415"/>
      <c r="AS560" s="415"/>
      <c r="AT560" s="415"/>
      <c r="AU560" s="415"/>
      <c r="AV560" s="415"/>
      <c r="AX560" s="415" t="str">
        <f>O559&amp;" - June"</f>
        <v>PERTH - June</v>
      </c>
      <c r="AY560" s="415"/>
      <c r="AZ560" s="415"/>
      <c r="BA560" s="415"/>
      <c r="BB560" s="415"/>
      <c r="BC560" s="415"/>
      <c r="BE560" s="415" t="str">
        <f>O559&amp;" - July"</f>
        <v>PERTH - July</v>
      </c>
      <c r="BF560" s="415"/>
      <c r="BG560" s="415"/>
      <c r="BH560" s="415"/>
      <c r="BI560" s="415"/>
      <c r="BJ560" s="415"/>
      <c r="BL560" s="415" t="str">
        <f>O559&amp;" - August"</f>
        <v>PERTH - August</v>
      </c>
      <c r="BM560" s="415"/>
      <c r="BN560" s="415"/>
      <c r="BO560" s="415"/>
      <c r="BP560" s="415"/>
      <c r="BQ560" s="415"/>
      <c r="BS560" s="415" t="str">
        <f>O559&amp;" - September"</f>
        <v>PERTH - September</v>
      </c>
      <c r="BT560" s="415"/>
      <c r="BU560" s="415"/>
      <c r="BV560" s="415"/>
      <c r="BW560" s="415"/>
      <c r="BX560" s="415"/>
      <c r="BZ560" s="415" t="str">
        <f>O559&amp;" - October"</f>
        <v>PERTH - October</v>
      </c>
      <c r="CA560" s="415"/>
      <c r="CB560" s="415"/>
      <c r="CC560" s="415"/>
      <c r="CD560" s="415"/>
      <c r="CE560" s="415"/>
      <c r="CG560" s="415" t="str">
        <f>O559&amp;" - November"</f>
        <v>PERTH - November</v>
      </c>
      <c r="CH560" s="415"/>
      <c r="CI560" s="415"/>
      <c r="CJ560" s="415"/>
      <c r="CK560" s="415"/>
      <c r="CL560" s="415"/>
      <c r="CN560" s="415" t="str">
        <f>O559&amp;" - December"</f>
        <v>PERTH - December</v>
      </c>
      <c r="CO560" s="415"/>
      <c r="CP560" s="415"/>
      <c r="CQ560" s="415"/>
      <c r="CR560" s="415"/>
      <c r="CS560" s="415"/>
    </row>
    <row r="561" spans="3:97" ht="15.75" customHeight="1" x14ac:dyDescent="0.25">
      <c r="C561" s="416"/>
      <c r="D561" s="333">
        <v>0</v>
      </c>
      <c r="E561" s="333">
        <v>10</v>
      </c>
      <c r="F561" s="333">
        <v>20</v>
      </c>
      <c r="G561" s="333">
        <v>30</v>
      </c>
      <c r="H561" s="333">
        <v>40</v>
      </c>
      <c r="I561" s="333">
        <v>50</v>
      </c>
      <c r="J561" s="333">
        <v>60</v>
      </c>
      <c r="K561" s="333">
        <v>70</v>
      </c>
      <c r="L561" s="333">
        <v>80</v>
      </c>
      <c r="M561" s="333">
        <v>90</v>
      </c>
      <c r="O561" s="416" t="s">
        <v>221</v>
      </c>
      <c r="P561" s="416" t="s">
        <v>222</v>
      </c>
      <c r="Q561" s="416"/>
      <c r="R561" s="416"/>
      <c r="S561" s="416"/>
      <c r="T561" s="416"/>
      <c r="V561" s="416" t="s">
        <v>221</v>
      </c>
      <c r="W561" s="416" t="s">
        <v>222</v>
      </c>
      <c r="X561" s="416"/>
      <c r="Y561" s="416"/>
      <c r="Z561" s="416"/>
      <c r="AA561" s="416"/>
      <c r="AC561" s="416" t="s">
        <v>221</v>
      </c>
      <c r="AD561" s="416" t="s">
        <v>222</v>
      </c>
      <c r="AE561" s="416"/>
      <c r="AF561" s="416"/>
      <c r="AG561" s="416"/>
      <c r="AH561" s="416"/>
      <c r="AJ561" s="416" t="s">
        <v>221</v>
      </c>
      <c r="AK561" s="416" t="s">
        <v>222</v>
      </c>
      <c r="AL561" s="416"/>
      <c r="AM561" s="416"/>
      <c r="AN561" s="416"/>
      <c r="AO561" s="416"/>
      <c r="AQ561" s="416" t="s">
        <v>221</v>
      </c>
      <c r="AR561" s="416" t="s">
        <v>222</v>
      </c>
      <c r="AS561" s="416"/>
      <c r="AT561" s="416"/>
      <c r="AU561" s="416"/>
      <c r="AV561" s="416"/>
      <c r="AX561" s="416" t="s">
        <v>221</v>
      </c>
      <c r="AY561" s="416" t="s">
        <v>222</v>
      </c>
      <c r="AZ561" s="416"/>
      <c r="BA561" s="416"/>
      <c r="BB561" s="416"/>
      <c r="BC561" s="416"/>
      <c r="BE561" s="416" t="s">
        <v>221</v>
      </c>
      <c r="BF561" s="416" t="s">
        <v>222</v>
      </c>
      <c r="BG561" s="416"/>
      <c r="BH561" s="416"/>
      <c r="BI561" s="416"/>
      <c r="BJ561" s="416"/>
      <c r="BL561" s="416" t="s">
        <v>221</v>
      </c>
      <c r="BM561" s="416" t="s">
        <v>222</v>
      </c>
      <c r="BN561" s="416"/>
      <c r="BO561" s="416"/>
      <c r="BP561" s="416"/>
      <c r="BQ561" s="416"/>
      <c r="BS561" s="416" t="s">
        <v>221</v>
      </c>
      <c r="BT561" s="416" t="s">
        <v>222</v>
      </c>
      <c r="BU561" s="416"/>
      <c r="BV561" s="416"/>
      <c r="BW561" s="416"/>
      <c r="BX561" s="416"/>
      <c r="BZ561" s="416" t="s">
        <v>221</v>
      </c>
      <c r="CA561" s="416" t="s">
        <v>222</v>
      </c>
      <c r="CB561" s="416"/>
      <c r="CC561" s="416"/>
      <c r="CD561" s="416"/>
      <c r="CE561" s="416"/>
      <c r="CG561" s="416" t="s">
        <v>221</v>
      </c>
      <c r="CH561" s="416" t="s">
        <v>222</v>
      </c>
      <c r="CI561" s="416"/>
      <c r="CJ561" s="416"/>
      <c r="CK561" s="416"/>
      <c r="CL561" s="416"/>
      <c r="CN561" s="416" t="s">
        <v>221</v>
      </c>
      <c r="CO561" s="416" t="s">
        <v>222</v>
      </c>
      <c r="CP561" s="416"/>
      <c r="CQ561" s="416"/>
      <c r="CR561" s="416"/>
      <c r="CS561" s="416"/>
    </row>
    <row r="562" spans="3:97" x14ac:dyDescent="0.25">
      <c r="C562" s="333">
        <v>0</v>
      </c>
      <c r="D562" s="334">
        <v>0.88</v>
      </c>
      <c r="E562" s="334">
        <v>0.94</v>
      </c>
      <c r="F562" s="334">
        <v>0.98</v>
      </c>
      <c r="G562" s="334">
        <v>1</v>
      </c>
      <c r="H562" s="334">
        <v>0.99</v>
      </c>
      <c r="I562" s="334">
        <v>0.95</v>
      </c>
      <c r="J562" s="334">
        <v>0.89</v>
      </c>
      <c r="K562" s="334">
        <v>0.81</v>
      </c>
      <c r="L562" s="334">
        <v>0.72</v>
      </c>
      <c r="M562" s="334">
        <v>0.61</v>
      </c>
      <c r="O562" s="416"/>
      <c r="P562" s="333">
        <v>0</v>
      </c>
      <c r="Q562" s="333">
        <v>10</v>
      </c>
      <c r="R562" s="333">
        <v>20</v>
      </c>
      <c r="S562" s="333">
        <v>30</v>
      </c>
      <c r="T562" s="333">
        <v>40</v>
      </c>
      <c r="V562" s="416"/>
      <c r="W562" s="333">
        <v>0</v>
      </c>
      <c r="X562" s="333">
        <v>10</v>
      </c>
      <c r="Y562" s="333">
        <v>20</v>
      </c>
      <c r="Z562" s="333">
        <v>30</v>
      </c>
      <c r="AA562" s="333">
        <v>40</v>
      </c>
      <c r="AC562" s="416"/>
      <c r="AD562" s="333">
        <v>0</v>
      </c>
      <c r="AE562" s="333">
        <v>10</v>
      </c>
      <c r="AF562" s="333">
        <v>20</v>
      </c>
      <c r="AG562" s="333">
        <v>30</v>
      </c>
      <c r="AH562" s="333">
        <v>40</v>
      </c>
      <c r="AJ562" s="416"/>
      <c r="AK562" s="333">
        <v>0</v>
      </c>
      <c r="AL562" s="333">
        <v>10</v>
      </c>
      <c r="AM562" s="333">
        <v>20</v>
      </c>
      <c r="AN562" s="333">
        <v>30</v>
      </c>
      <c r="AO562" s="333">
        <v>40</v>
      </c>
      <c r="AQ562" s="416"/>
      <c r="AR562" s="333">
        <v>0</v>
      </c>
      <c r="AS562" s="333">
        <v>10</v>
      </c>
      <c r="AT562" s="333">
        <v>20</v>
      </c>
      <c r="AU562" s="333">
        <v>30</v>
      </c>
      <c r="AV562" s="333">
        <v>40</v>
      </c>
      <c r="AX562" s="416"/>
      <c r="AY562" s="333">
        <v>0</v>
      </c>
      <c r="AZ562" s="333">
        <v>10</v>
      </c>
      <c r="BA562" s="333">
        <v>20</v>
      </c>
      <c r="BB562" s="333">
        <v>30</v>
      </c>
      <c r="BC562" s="333">
        <v>40</v>
      </c>
      <c r="BE562" s="416"/>
      <c r="BF562" s="333">
        <v>0</v>
      </c>
      <c r="BG562" s="333">
        <v>10</v>
      </c>
      <c r="BH562" s="333">
        <v>20</v>
      </c>
      <c r="BI562" s="333">
        <v>30</v>
      </c>
      <c r="BJ562" s="333">
        <v>40</v>
      </c>
      <c r="BL562" s="416"/>
      <c r="BM562" s="333">
        <v>0</v>
      </c>
      <c r="BN562" s="333">
        <v>10</v>
      </c>
      <c r="BO562" s="333">
        <v>20</v>
      </c>
      <c r="BP562" s="333">
        <v>30</v>
      </c>
      <c r="BQ562" s="333">
        <v>40</v>
      </c>
      <c r="BS562" s="416"/>
      <c r="BT562" s="333">
        <v>0</v>
      </c>
      <c r="BU562" s="333">
        <v>10</v>
      </c>
      <c r="BV562" s="333">
        <v>20</v>
      </c>
      <c r="BW562" s="333">
        <v>30</v>
      </c>
      <c r="BX562" s="333">
        <v>40</v>
      </c>
      <c r="BZ562" s="416"/>
      <c r="CA562" s="333">
        <v>0</v>
      </c>
      <c r="CB562" s="333">
        <v>10</v>
      </c>
      <c r="CC562" s="333">
        <v>20</v>
      </c>
      <c r="CD562" s="333">
        <v>30</v>
      </c>
      <c r="CE562" s="333">
        <v>40</v>
      </c>
      <c r="CG562" s="416"/>
      <c r="CH562" s="333">
        <v>0</v>
      </c>
      <c r="CI562" s="333">
        <v>10</v>
      </c>
      <c r="CJ562" s="333">
        <v>20</v>
      </c>
      <c r="CK562" s="333">
        <v>30</v>
      </c>
      <c r="CL562" s="333">
        <v>40</v>
      </c>
      <c r="CN562" s="416"/>
      <c r="CO562" s="333">
        <v>0</v>
      </c>
      <c r="CP562" s="333">
        <v>10</v>
      </c>
      <c r="CQ562" s="333">
        <v>20</v>
      </c>
      <c r="CR562" s="333">
        <v>30</v>
      </c>
      <c r="CS562" s="333">
        <v>40</v>
      </c>
    </row>
    <row r="563" spans="3:97" x14ac:dyDescent="0.25">
      <c r="C563" s="333">
        <v>10</v>
      </c>
      <c r="D563" s="334">
        <v>0.88</v>
      </c>
      <c r="E563" s="334">
        <v>0.94</v>
      </c>
      <c r="F563" s="334">
        <v>0.98</v>
      </c>
      <c r="G563" s="334">
        <v>1</v>
      </c>
      <c r="H563" s="334">
        <v>0.99</v>
      </c>
      <c r="I563" s="334">
        <v>0.95</v>
      </c>
      <c r="J563" s="334">
        <v>0.89</v>
      </c>
      <c r="K563" s="334">
        <v>0.81</v>
      </c>
      <c r="L563" s="334">
        <v>0.72</v>
      </c>
      <c r="M563" s="334">
        <v>0.61</v>
      </c>
      <c r="O563" s="333">
        <v>270</v>
      </c>
      <c r="P563" s="334">
        <v>1</v>
      </c>
      <c r="Q563" s="334">
        <v>1</v>
      </c>
      <c r="R563" s="334">
        <v>0.99</v>
      </c>
      <c r="S563" s="334">
        <v>0.96</v>
      </c>
      <c r="T563" s="334">
        <v>0.92</v>
      </c>
      <c r="V563" s="333">
        <v>270</v>
      </c>
      <c r="W563" s="334">
        <v>1</v>
      </c>
      <c r="X563" s="334">
        <v>1</v>
      </c>
      <c r="Y563" s="334">
        <v>0.99</v>
      </c>
      <c r="Z563" s="334">
        <v>0.97</v>
      </c>
      <c r="AA563" s="334">
        <v>0.93</v>
      </c>
      <c r="AC563" s="333">
        <v>270</v>
      </c>
      <c r="AD563" s="334">
        <v>1</v>
      </c>
      <c r="AE563" s="334">
        <v>1.01</v>
      </c>
      <c r="AF563" s="334">
        <v>1</v>
      </c>
      <c r="AG563" s="334">
        <v>0.99</v>
      </c>
      <c r="AH563" s="334">
        <v>0.96</v>
      </c>
      <c r="AJ563" s="333">
        <v>270</v>
      </c>
      <c r="AK563" s="334">
        <v>1</v>
      </c>
      <c r="AL563" s="334">
        <v>1.01</v>
      </c>
      <c r="AM563" s="334">
        <v>1.01</v>
      </c>
      <c r="AN563" s="334">
        <v>1</v>
      </c>
      <c r="AO563" s="334">
        <v>0.98</v>
      </c>
      <c r="AQ563" s="333">
        <v>270</v>
      </c>
      <c r="AR563" s="334">
        <v>1</v>
      </c>
      <c r="AS563" s="334">
        <v>1.01</v>
      </c>
      <c r="AT563" s="334">
        <v>1.01</v>
      </c>
      <c r="AU563" s="334">
        <v>0.99</v>
      </c>
      <c r="AV563" s="334">
        <v>0.98</v>
      </c>
      <c r="AX563" s="333">
        <v>270</v>
      </c>
      <c r="AY563" s="334">
        <v>1</v>
      </c>
      <c r="AZ563" s="334">
        <v>1.01</v>
      </c>
      <c r="BA563" s="334">
        <v>1.01</v>
      </c>
      <c r="BB563" s="334">
        <v>1.01</v>
      </c>
      <c r="BC563" s="334">
        <v>0.99</v>
      </c>
      <c r="BE563" s="333">
        <v>270</v>
      </c>
      <c r="BF563" s="334">
        <v>1</v>
      </c>
      <c r="BG563" s="334">
        <v>1.01</v>
      </c>
      <c r="BH563" s="334">
        <v>1.01</v>
      </c>
      <c r="BI563" s="334">
        <v>1.01</v>
      </c>
      <c r="BJ563" s="334">
        <v>0.98</v>
      </c>
      <c r="BL563" s="333">
        <v>270</v>
      </c>
      <c r="BM563" s="334">
        <v>1</v>
      </c>
      <c r="BN563" s="334">
        <v>1.01</v>
      </c>
      <c r="BO563" s="334">
        <v>1.01</v>
      </c>
      <c r="BP563" s="334">
        <v>1</v>
      </c>
      <c r="BQ563" s="334">
        <v>0.98</v>
      </c>
      <c r="BS563" s="333">
        <v>270</v>
      </c>
      <c r="BT563" s="334">
        <v>1</v>
      </c>
      <c r="BU563" s="334">
        <v>1.01</v>
      </c>
      <c r="BV563" s="334">
        <v>1.01</v>
      </c>
      <c r="BW563" s="334">
        <v>0.99</v>
      </c>
      <c r="BX563" s="334">
        <v>0.96</v>
      </c>
      <c r="BZ563" s="333">
        <v>270</v>
      </c>
      <c r="CA563" s="334">
        <v>1</v>
      </c>
      <c r="CB563" s="334">
        <v>1.01</v>
      </c>
      <c r="CC563" s="334">
        <v>1</v>
      </c>
      <c r="CD563" s="334">
        <v>0.98</v>
      </c>
      <c r="CE563" s="334">
        <v>0.95</v>
      </c>
      <c r="CG563" s="333">
        <v>270</v>
      </c>
      <c r="CH563" s="334">
        <v>1</v>
      </c>
      <c r="CI563" s="334">
        <v>1</v>
      </c>
      <c r="CJ563" s="334">
        <v>0.99</v>
      </c>
      <c r="CK563" s="334">
        <v>0.96</v>
      </c>
      <c r="CL563" s="334">
        <v>0.92</v>
      </c>
      <c r="CN563" s="333">
        <v>270</v>
      </c>
      <c r="CO563" s="334">
        <v>1</v>
      </c>
      <c r="CP563" s="334">
        <v>1</v>
      </c>
      <c r="CQ563" s="334">
        <v>0.99</v>
      </c>
      <c r="CR563" s="334">
        <v>0.96</v>
      </c>
      <c r="CS563" s="334">
        <v>0.92</v>
      </c>
    </row>
    <row r="564" spans="3:97" x14ac:dyDescent="0.25">
      <c r="C564" s="333">
        <v>20</v>
      </c>
      <c r="D564" s="334">
        <v>0.88</v>
      </c>
      <c r="E564" s="334">
        <v>0.94</v>
      </c>
      <c r="F564" s="334">
        <v>0.98</v>
      </c>
      <c r="G564" s="335">
        <v>0.99</v>
      </c>
      <c r="H564" s="334">
        <v>0.98</v>
      </c>
      <c r="I564" s="334">
        <v>0.94</v>
      </c>
      <c r="J564" s="334">
        <v>0.89</v>
      </c>
      <c r="K564" s="334">
        <v>0.81</v>
      </c>
      <c r="L564" s="334">
        <v>0.72</v>
      </c>
      <c r="M564" s="334">
        <v>0.62</v>
      </c>
      <c r="O564" s="333">
        <v>280</v>
      </c>
      <c r="P564" s="334">
        <v>1</v>
      </c>
      <c r="Q564" s="334">
        <v>1</v>
      </c>
      <c r="R564" s="334">
        <v>0.99</v>
      </c>
      <c r="S564" s="334">
        <v>0.96</v>
      </c>
      <c r="T564" s="334">
        <v>0.92</v>
      </c>
      <c r="V564" s="333">
        <v>280</v>
      </c>
      <c r="W564" s="334">
        <v>1</v>
      </c>
      <c r="X564" s="334">
        <v>1.01</v>
      </c>
      <c r="Y564" s="334">
        <v>1</v>
      </c>
      <c r="Z564" s="334">
        <v>0.98</v>
      </c>
      <c r="AA564" s="334">
        <v>0.95</v>
      </c>
      <c r="AC564" s="333">
        <v>280</v>
      </c>
      <c r="AD564" s="334">
        <v>1</v>
      </c>
      <c r="AE564" s="334">
        <v>1.02</v>
      </c>
      <c r="AF564" s="334">
        <v>1.03</v>
      </c>
      <c r="AG564" s="334">
        <v>1.03</v>
      </c>
      <c r="AH564" s="334">
        <v>1</v>
      </c>
      <c r="AJ564" s="333">
        <v>280</v>
      </c>
      <c r="AK564" s="334">
        <v>1</v>
      </c>
      <c r="AL564" s="334">
        <v>1.04</v>
      </c>
      <c r="AM564" s="334">
        <v>1.05</v>
      </c>
      <c r="AN564" s="334">
        <v>1.06</v>
      </c>
      <c r="AO564" s="334">
        <v>1.05</v>
      </c>
      <c r="AQ564" s="333">
        <v>280</v>
      </c>
      <c r="AR564" s="334">
        <v>1</v>
      </c>
      <c r="AS564" s="334">
        <v>1.04</v>
      </c>
      <c r="AT564" s="334">
        <v>1.07</v>
      </c>
      <c r="AU564" s="334">
        <v>1.08</v>
      </c>
      <c r="AV564" s="334">
        <v>1.08</v>
      </c>
      <c r="AX564" s="333">
        <v>280</v>
      </c>
      <c r="AY564" s="334">
        <v>1</v>
      </c>
      <c r="AZ564" s="334">
        <v>1.05</v>
      </c>
      <c r="BA564" s="334">
        <v>1.08</v>
      </c>
      <c r="BB564" s="334">
        <v>1.1000000000000001</v>
      </c>
      <c r="BC564" s="334">
        <v>1.1000000000000001</v>
      </c>
      <c r="BE564" s="333">
        <v>280</v>
      </c>
      <c r="BF564" s="334">
        <v>1</v>
      </c>
      <c r="BG564" s="334">
        <v>1.04</v>
      </c>
      <c r="BH564" s="334">
        <v>1.07</v>
      </c>
      <c r="BI564" s="334">
        <v>1.0900000000000001</v>
      </c>
      <c r="BJ564" s="334">
        <v>1.0900000000000001</v>
      </c>
      <c r="BL564" s="333">
        <v>280</v>
      </c>
      <c r="BM564" s="334">
        <v>1</v>
      </c>
      <c r="BN564" s="334">
        <v>1.04</v>
      </c>
      <c r="BO564" s="334">
        <v>1.06</v>
      </c>
      <c r="BP564" s="334">
        <v>1.06</v>
      </c>
      <c r="BQ564" s="334">
        <v>1.06</v>
      </c>
      <c r="BS564" s="333">
        <v>280</v>
      </c>
      <c r="BT564" s="334">
        <v>1</v>
      </c>
      <c r="BU564" s="334">
        <v>1.02</v>
      </c>
      <c r="BV564" s="334">
        <v>1.04</v>
      </c>
      <c r="BW564" s="334">
        <v>1.03</v>
      </c>
      <c r="BX564" s="334">
        <v>1.01</v>
      </c>
      <c r="BZ564" s="333">
        <v>280</v>
      </c>
      <c r="CA564" s="334">
        <v>1</v>
      </c>
      <c r="CB564" s="334">
        <v>1.02</v>
      </c>
      <c r="CC564" s="334">
        <v>1.02</v>
      </c>
      <c r="CD564" s="334">
        <v>1</v>
      </c>
      <c r="CE564" s="334">
        <v>0.98</v>
      </c>
      <c r="CG564" s="333">
        <v>280</v>
      </c>
      <c r="CH564" s="334">
        <v>1</v>
      </c>
      <c r="CI564" s="334">
        <v>1</v>
      </c>
      <c r="CJ564" s="334">
        <v>0.99</v>
      </c>
      <c r="CK564" s="334">
        <v>0.97</v>
      </c>
      <c r="CL564" s="334">
        <v>0.93</v>
      </c>
      <c r="CN564" s="333">
        <v>280</v>
      </c>
      <c r="CO564" s="334">
        <v>1</v>
      </c>
      <c r="CP564" s="334">
        <v>1</v>
      </c>
      <c r="CQ564" s="334">
        <v>0.98</v>
      </c>
      <c r="CR564" s="334">
        <v>0.95</v>
      </c>
      <c r="CS564" s="334">
        <v>0.92</v>
      </c>
    </row>
    <row r="565" spans="3:97" x14ac:dyDescent="0.25">
      <c r="C565" s="333">
        <v>30</v>
      </c>
      <c r="D565" s="334">
        <v>0.88</v>
      </c>
      <c r="E565" s="334">
        <v>0.94</v>
      </c>
      <c r="F565" s="334">
        <v>0.97</v>
      </c>
      <c r="G565" s="335">
        <v>0.98</v>
      </c>
      <c r="H565" s="334">
        <v>0.97</v>
      </c>
      <c r="I565" s="334">
        <v>0.93</v>
      </c>
      <c r="J565" s="334">
        <v>0.88</v>
      </c>
      <c r="K565" s="334">
        <v>0.81</v>
      </c>
      <c r="L565" s="334">
        <v>0.72</v>
      </c>
      <c r="M565" s="334">
        <v>0.62</v>
      </c>
      <c r="O565" s="333">
        <v>290</v>
      </c>
      <c r="P565" s="334">
        <v>1</v>
      </c>
      <c r="Q565" s="334">
        <v>1</v>
      </c>
      <c r="R565" s="334">
        <v>0.99</v>
      </c>
      <c r="S565" s="334">
        <v>0.96</v>
      </c>
      <c r="T565" s="334">
        <v>0.92</v>
      </c>
      <c r="V565" s="333">
        <v>290</v>
      </c>
      <c r="W565" s="334">
        <v>1</v>
      </c>
      <c r="X565" s="334">
        <v>1.01</v>
      </c>
      <c r="Y565" s="334">
        <v>1.01</v>
      </c>
      <c r="Z565" s="334">
        <v>1</v>
      </c>
      <c r="AA565" s="334">
        <v>0.97</v>
      </c>
      <c r="AC565" s="333">
        <v>290</v>
      </c>
      <c r="AD565" s="334">
        <v>1</v>
      </c>
      <c r="AE565" s="334">
        <v>1.04</v>
      </c>
      <c r="AF565" s="334">
        <v>1.06</v>
      </c>
      <c r="AG565" s="334">
        <v>1.06</v>
      </c>
      <c r="AH565" s="334">
        <v>1.04</v>
      </c>
      <c r="AJ565" s="333">
        <v>290</v>
      </c>
      <c r="AK565" s="334">
        <v>1</v>
      </c>
      <c r="AL565" s="334">
        <v>1.06</v>
      </c>
      <c r="AM565" s="334">
        <v>1.1000000000000001</v>
      </c>
      <c r="AN565" s="334">
        <v>1.1200000000000001</v>
      </c>
      <c r="AO565" s="334">
        <v>1.1200000000000001</v>
      </c>
      <c r="AQ565" s="333">
        <v>290</v>
      </c>
      <c r="AR565" s="334">
        <v>1</v>
      </c>
      <c r="AS565" s="334">
        <v>1.07</v>
      </c>
      <c r="AT565" s="334">
        <v>1.1299999999999999</v>
      </c>
      <c r="AU565" s="334">
        <v>1.1599999999999999</v>
      </c>
      <c r="AV565" s="334">
        <v>1.17</v>
      </c>
      <c r="AX565" s="333">
        <v>290</v>
      </c>
      <c r="AY565" s="334">
        <v>1</v>
      </c>
      <c r="AZ565" s="334">
        <v>1.08</v>
      </c>
      <c r="BA565" s="334">
        <v>1.1499999999999999</v>
      </c>
      <c r="BB565" s="334">
        <v>1.2</v>
      </c>
      <c r="BC565" s="334">
        <v>1.21</v>
      </c>
      <c r="BE565" s="333">
        <v>290</v>
      </c>
      <c r="BF565" s="334">
        <v>1</v>
      </c>
      <c r="BG565" s="334">
        <v>1.07</v>
      </c>
      <c r="BH565" s="334">
        <v>1.1299999999999999</v>
      </c>
      <c r="BI565" s="334">
        <v>1.17</v>
      </c>
      <c r="BJ565" s="334">
        <v>1.2</v>
      </c>
      <c r="BL565" s="333">
        <v>290</v>
      </c>
      <c r="BM565" s="334">
        <v>1</v>
      </c>
      <c r="BN565" s="334">
        <v>1.06</v>
      </c>
      <c r="BO565" s="334">
        <v>1.1000000000000001</v>
      </c>
      <c r="BP565" s="334">
        <v>1.1299999999999999</v>
      </c>
      <c r="BQ565" s="334">
        <v>1.1299999999999999</v>
      </c>
      <c r="BS565" s="333">
        <v>290</v>
      </c>
      <c r="BT565" s="334">
        <v>1</v>
      </c>
      <c r="BU565" s="334">
        <v>1.04</v>
      </c>
      <c r="BV565" s="334">
        <v>1.07</v>
      </c>
      <c r="BW565" s="334">
        <v>1.07</v>
      </c>
      <c r="BX565" s="334">
        <v>1.06</v>
      </c>
      <c r="BZ565" s="333">
        <v>290</v>
      </c>
      <c r="CA565" s="334">
        <v>1</v>
      </c>
      <c r="CB565" s="334">
        <v>1.02</v>
      </c>
      <c r="CC565" s="334">
        <v>1.03</v>
      </c>
      <c r="CD565" s="334">
        <v>1.02</v>
      </c>
      <c r="CE565" s="334">
        <v>1</v>
      </c>
      <c r="CG565" s="333">
        <v>290</v>
      </c>
      <c r="CH565" s="334">
        <v>1</v>
      </c>
      <c r="CI565" s="334">
        <v>1.01</v>
      </c>
      <c r="CJ565" s="334">
        <v>1</v>
      </c>
      <c r="CK565" s="334">
        <v>0.97</v>
      </c>
      <c r="CL565" s="334">
        <v>0.93</v>
      </c>
      <c r="CN565" s="333">
        <v>290</v>
      </c>
      <c r="CO565" s="334">
        <v>1</v>
      </c>
      <c r="CP565" s="334">
        <v>1</v>
      </c>
      <c r="CQ565" s="334">
        <v>0.98</v>
      </c>
      <c r="CR565" s="334">
        <v>0.95</v>
      </c>
      <c r="CS565" s="334">
        <v>0.91</v>
      </c>
    </row>
    <row r="566" spans="3:97" x14ac:dyDescent="0.25">
      <c r="C566" s="333">
        <v>40</v>
      </c>
      <c r="D566" s="334">
        <v>0.88</v>
      </c>
      <c r="E566" s="334">
        <v>0.93</v>
      </c>
      <c r="F566" s="334">
        <v>0.96</v>
      </c>
      <c r="G566" s="335">
        <v>0.96</v>
      </c>
      <c r="H566" s="334">
        <v>0.95</v>
      </c>
      <c r="I566" s="334">
        <v>0.92</v>
      </c>
      <c r="J566" s="334">
        <v>0.86</v>
      </c>
      <c r="K566" s="334">
        <v>0.8</v>
      </c>
      <c r="L566" s="334">
        <v>0.71</v>
      </c>
      <c r="M566" s="334">
        <v>0.62</v>
      </c>
      <c r="O566" s="333">
        <v>300</v>
      </c>
      <c r="P566" s="334">
        <v>1</v>
      </c>
      <c r="Q566" s="334">
        <v>1</v>
      </c>
      <c r="R566" s="335">
        <v>0.99</v>
      </c>
      <c r="S566" s="334">
        <v>0.96</v>
      </c>
      <c r="T566" s="334">
        <v>0.92</v>
      </c>
      <c r="V566" s="333">
        <v>300</v>
      </c>
      <c r="W566" s="334">
        <v>1</v>
      </c>
      <c r="X566" s="334">
        <v>1.02</v>
      </c>
      <c r="Y566" s="335">
        <v>1.02</v>
      </c>
      <c r="Z566" s="334">
        <v>1.01</v>
      </c>
      <c r="AA566" s="334">
        <v>0.98</v>
      </c>
      <c r="AC566" s="333">
        <v>300</v>
      </c>
      <c r="AD566" s="334">
        <v>1</v>
      </c>
      <c r="AE566" s="334">
        <v>1.05</v>
      </c>
      <c r="AF566" s="335">
        <v>1.08</v>
      </c>
      <c r="AG566" s="334">
        <v>1.0900000000000001</v>
      </c>
      <c r="AH566" s="334">
        <v>1.08</v>
      </c>
      <c r="AJ566" s="333">
        <v>300</v>
      </c>
      <c r="AK566" s="334">
        <v>1</v>
      </c>
      <c r="AL566" s="334">
        <v>1.08</v>
      </c>
      <c r="AM566" s="335">
        <v>1.1299999999999999</v>
      </c>
      <c r="AN566" s="334">
        <v>1.17</v>
      </c>
      <c r="AO566" s="334">
        <v>1.18</v>
      </c>
      <c r="AQ566" s="333">
        <v>300</v>
      </c>
      <c r="AR566" s="334">
        <v>1</v>
      </c>
      <c r="AS566" s="334">
        <v>1.1000000000000001</v>
      </c>
      <c r="AT566" s="335">
        <v>1.18</v>
      </c>
      <c r="AU566" s="334">
        <v>1.24</v>
      </c>
      <c r="AV566" s="334">
        <v>1.26</v>
      </c>
      <c r="AX566" s="333">
        <v>300</v>
      </c>
      <c r="AY566" s="334">
        <v>1</v>
      </c>
      <c r="AZ566" s="334">
        <v>1.1200000000000001</v>
      </c>
      <c r="BA566" s="335">
        <v>1.21</v>
      </c>
      <c r="BB566" s="334">
        <v>1.29</v>
      </c>
      <c r="BC566" s="334">
        <v>1.33</v>
      </c>
      <c r="BE566" s="333">
        <v>300</v>
      </c>
      <c r="BF566" s="334">
        <v>1</v>
      </c>
      <c r="BG566" s="334">
        <v>1.1100000000000001</v>
      </c>
      <c r="BH566" s="335">
        <v>1.19</v>
      </c>
      <c r="BI566" s="334">
        <v>1.26</v>
      </c>
      <c r="BJ566" s="334">
        <v>1.29</v>
      </c>
      <c r="BL566" s="333">
        <v>300</v>
      </c>
      <c r="BM566" s="334">
        <v>1</v>
      </c>
      <c r="BN566" s="334">
        <v>1.0900000000000001</v>
      </c>
      <c r="BO566" s="335">
        <v>1.1399999999999999</v>
      </c>
      <c r="BP566" s="334">
        <v>1.19</v>
      </c>
      <c r="BQ566" s="334">
        <v>1.2</v>
      </c>
      <c r="BS566" s="333">
        <v>300</v>
      </c>
      <c r="BT566" s="334">
        <v>1</v>
      </c>
      <c r="BU566" s="334">
        <v>1.05</v>
      </c>
      <c r="BV566" s="335">
        <v>1.0900000000000001</v>
      </c>
      <c r="BW566" s="334">
        <v>1.1000000000000001</v>
      </c>
      <c r="BX566" s="334">
        <v>1.1000000000000001</v>
      </c>
      <c r="BZ566" s="333">
        <v>300</v>
      </c>
      <c r="CA566" s="334">
        <v>1</v>
      </c>
      <c r="CB566" s="334">
        <v>1.03</v>
      </c>
      <c r="CC566" s="335">
        <v>1.04</v>
      </c>
      <c r="CD566" s="334">
        <v>1.04</v>
      </c>
      <c r="CE566" s="334">
        <v>1.02</v>
      </c>
      <c r="CG566" s="333">
        <v>300</v>
      </c>
      <c r="CH566" s="334">
        <v>1</v>
      </c>
      <c r="CI566" s="334">
        <v>1.01</v>
      </c>
      <c r="CJ566" s="335">
        <v>1</v>
      </c>
      <c r="CK566" s="334">
        <v>0.98</v>
      </c>
      <c r="CL566" s="334">
        <v>0.93</v>
      </c>
      <c r="CN566" s="333">
        <v>300</v>
      </c>
      <c r="CO566" s="334">
        <v>1</v>
      </c>
      <c r="CP566" s="334">
        <v>1</v>
      </c>
      <c r="CQ566" s="335">
        <v>0.98</v>
      </c>
      <c r="CR566" s="334">
        <v>0.95</v>
      </c>
      <c r="CS566" s="334">
        <v>0.9</v>
      </c>
    </row>
    <row r="567" spans="3:97" x14ac:dyDescent="0.25">
      <c r="C567" s="333">
        <v>50</v>
      </c>
      <c r="D567" s="334">
        <v>0.88</v>
      </c>
      <c r="E567" s="334">
        <v>0.92</v>
      </c>
      <c r="F567" s="334">
        <v>0.94</v>
      </c>
      <c r="G567" s="335">
        <v>0.94</v>
      </c>
      <c r="H567" s="334">
        <v>0.93</v>
      </c>
      <c r="I567" s="334">
        <v>0.89</v>
      </c>
      <c r="J567" s="334">
        <v>0.84</v>
      </c>
      <c r="K567" s="334">
        <v>0.78</v>
      </c>
      <c r="L567" s="334">
        <v>0.7</v>
      </c>
      <c r="M567" s="334">
        <v>0.62</v>
      </c>
      <c r="O567" s="333">
        <v>310</v>
      </c>
      <c r="P567" s="334">
        <v>1</v>
      </c>
      <c r="Q567" s="334">
        <v>1</v>
      </c>
      <c r="R567" s="335">
        <v>0.99</v>
      </c>
      <c r="S567" s="334">
        <v>0.96</v>
      </c>
      <c r="T567" s="334">
        <v>0.91</v>
      </c>
      <c r="V567" s="333">
        <v>310</v>
      </c>
      <c r="W567" s="334">
        <v>1</v>
      </c>
      <c r="X567" s="334">
        <v>1.03</v>
      </c>
      <c r="Y567" s="335">
        <v>1.03</v>
      </c>
      <c r="Z567" s="334">
        <v>1.01</v>
      </c>
      <c r="AA567" s="334">
        <v>0.99</v>
      </c>
      <c r="AC567" s="333">
        <v>310</v>
      </c>
      <c r="AD567" s="334">
        <v>1</v>
      </c>
      <c r="AE567" s="334">
        <v>1.06</v>
      </c>
      <c r="AF567" s="335">
        <v>1.1000000000000001</v>
      </c>
      <c r="AG567" s="334">
        <v>1.1100000000000001</v>
      </c>
      <c r="AH567" s="334">
        <v>1.1100000000000001</v>
      </c>
      <c r="AJ567" s="333">
        <v>310</v>
      </c>
      <c r="AK567" s="334">
        <v>1</v>
      </c>
      <c r="AL567" s="334">
        <v>1.1000000000000001</v>
      </c>
      <c r="AM567" s="335">
        <v>1.17</v>
      </c>
      <c r="AN567" s="334">
        <v>1.21</v>
      </c>
      <c r="AO567" s="334">
        <v>1.24</v>
      </c>
      <c r="AQ567" s="333">
        <v>310</v>
      </c>
      <c r="AR567" s="334">
        <v>1</v>
      </c>
      <c r="AS567" s="334">
        <v>1.1299999999999999</v>
      </c>
      <c r="AT567" s="335">
        <v>1.23</v>
      </c>
      <c r="AU567" s="334">
        <v>1.3</v>
      </c>
      <c r="AV567" s="334">
        <v>1.35</v>
      </c>
      <c r="AX567" s="333">
        <v>310</v>
      </c>
      <c r="AY567" s="334">
        <v>1</v>
      </c>
      <c r="AZ567" s="334">
        <v>1.1499999999999999</v>
      </c>
      <c r="BA567" s="335">
        <v>1.27</v>
      </c>
      <c r="BB567" s="334">
        <v>1.36</v>
      </c>
      <c r="BC567" s="334">
        <v>1.43</v>
      </c>
      <c r="BE567" s="333">
        <v>310</v>
      </c>
      <c r="BF567" s="334">
        <v>1</v>
      </c>
      <c r="BG567" s="334">
        <v>1.1299999999999999</v>
      </c>
      <c r="BH567" s="335">
        <v>1.24</v>
      </c>
      <c r="BI567" s="334">
        <v>1.33</v>
      </c>
      <c r="BJ567" s="334">
        <v>1.38</v>
      </c>
      <c r="BL567" s="333">
        <v>310</v>
      </c>
      <c r="BM567" s="334">
        <v>1</v>
      </c>
      <c r="BN567" s="334">
        <v>1.1000000000000001</v>
      </c>
      <c r="BO567" s="335">
        <v>1.19</v>
      </c>
      <c r="BP567" s="334">
        <v>1.24</v>
      </c>
      <c r="BQ567" s="334">
        <v>1.26</v>
      </c>
      <c r="BS567" s="333">
        <v>310</v>
      </c>
      <c r="BT567" s="334">
        <v>1</v>
      </c>
      <c r="BU567" s="334">
        <v>1.07</v>
      </c>
      <c r="BV567" s="335">
        <v>1.1100000000000001</v>
      </c>
      <c r="BW567" s="334">
        <v>1.1399999999999999</v>
      </c>
      <c r="BX567" s="334">
        <v>1.1399999999999999</v>
      </c>
      <c r="BZ567" s="333">
        <v>310</v>
      </c>
      <c r="CA567" s="334">
        <v>1</v>
      </c>
      <c r="CB567" s="334">
        <v>1.04</v>
      </c>
      <c r="CC567" s="335">
        <v>1.05</v>
      </c>
      <c r="CD567" s="334">
        <v>1.05</v>
      </c>
      <c r="CE567" s="334">
        <v>1.03</v>
      </c>
      <c r="CG567" s="333">
        <v>310</v>
      </c>
      <c r="CH567" s="334">
        <v>1</v>
      </c>
      <c r="CI567" s="334">
        <v>1.01</v>
      </c>
      <c r="CJ567" s="335">
        <v>1</v>
      </c>
      <c r="CK567" s="334">
        <v>0.98</v>
      </c>
      <c r="CL567" s="334">
        <v>0.93</v>
      </c>
      <c r="CN567" s="333">
        <v>310</v>
      </c>
      <c r="CO567" s="334">
        <v>1</v>
      </c>
      <c r="CP567" s="334">
        <v>1</v>
      </c>
      <c r="CQ567" s="335">
        <v>0.98</v>
      </c>
      <c r="CR567" s="334">
        <v>0.94</v>
      </c>
      <c r="CS567" s="334">
        <v>0.89</v>
      </c>
    </row>
    <row r="568" spans="3:97" x14ac:dyDescent="0.25">
      <c r="C568" s="333">
        <v>60</v>
      </c>
      <c r="D568" s="334">
        <v>0.88</v>
      </c>
      <c r="E568" s="334">
        <v>0.91</v>
      </c>
      <c r="F568" s="334">
        <v>0.93</v>
      </c>
      <c r="G568" s="335">
        <v>0.93</v>
      </c>
      <c r="H568" s="334">
        <v>0.9</v>
      </c>
      <c r="I568" s="334">
        <v>0.87</v>
      </c>
      <c r="J568" s="334">
        <v>0.82</v>
      </c>
      <c r="K568" s="334">
        <v>0.76</v>
      </c>
      <c r="L568" s="334">
        <v>0.69</v>
      </c>
      <c r="M568" s="334">
        <v>0.61</v>
      </c>
      <c r="O568" s="333">
        <v>320</v>
      </c>
      <c r="P568" s="334">
        <v>1</v>
      </c>
      <c r="Q568" s="334">
        <v>1</v>
      </c>
      <c r="R568" s="335">
        <v>0.99</v>
      </c>
      <c r="S568" s="334">
        <v>0.96</v>
      </c>
      <c r="T568" s="334">
        <v>0.9</v>
      </c>
      <c r="V568" s="333">
        <v>320</v>
      </c>
      <c r="W568" s="334">
        <v>1</v>
      </c>
      <c r="X568" s="334">
        <v>1.03</v>
      </c>
      <c r="Y568" s="335">
        <v>1.04</v>
      </c>
      <c r="Z568" s="334">
        <v>1.02</v>
      </c>
      <c r="AA568" s="334">
        <v>0.99</v>
      </c>
      <c r="AC568" s="333">
        <v>320</v>
      </c>
      <c r="AD568" s="334">
        <v>1</v>
      </c>
      <c r="AE568" s="334">
        <v>1.07</v>
      </c>
      <c r="AF568" s="335">
        <v>1.1200000000000001</v>
      </c>
      <c r="AG568" s="334">
        <v>1.1399999999999999</v>
      </c>
      <c r="AH568" s="334">
        <v>1.1299999999999999</v>
      </c>
      <c r="AJ568" s="333">
        <v>320</v>
      </c>
      <c r="AK568" s="334">
        <v>1</v>
      </c>
      <c r="AL568" s="334">
        <v>1.1200000000000001</v>
      </c>
      <c r="AM568" s="335">
        <v>1.2</v>
      </c>
      <c r="AN568" s="334">
        <v>1.25</v>
      </c>
      <c r="AO568" s="334">
        <v>1.28</v>
      </c>
      <c r="AQ568" s="333">
        <v>320</v>
      </c>
      <c r="AR568" s="334">
        <v>1</v>
      </c>
      <c r="AS568" s="334">
        <v>1.1499999999999999</v>
      </c>
      <c r="AT568" s="335">
        <v>1.27</v>
      </c>
      <c r="AU568" s="334">
        <v>1.37</v>
      </c>
      <c r="AV568" s="334">
        <v>1.43</v>
      </c>
      <c r="AX568" s="333">
        <v>320</v>
      </c>
      <c r="AY568" s="334">
        <v>1</v>
      </c>
      <c r="AZ568" s="334">
        <v>1.18</v>
      </c>
      <c r="BA568" s="335">
        <v>1.33</v>
      </c>
      <c r="BB568" s="334">
        <v>1.44</v>
      </c>
      <c r="BC568" s="334">
        <v>1.52</v>
      </c>
      <c r="BE568" s="333">
        <v>320</v>
      </c>
      <c r="BF568" s="334">
        <v>1</v>
      </c>
      <c r="BG568" s="334">
        <v>1.1599999999999999</v>
      </c>
      <c r="BH568" s="335">
        <v>1.29</v>
      </c>
      <c r="BI568" s="334">
        <v>1.39</v>
      </c>
      <c r="BJ568" s="334">
        <v>1.46</v>
      </c>
      <c r="BL568" s="333">
        <v>320</v>
      </c>
      <c r="BM568" s="334">
        <v>1</v>
      </c>
      <c r="BN568" s="334">
        <v>1.1200000000000001</v>
      </c>
      <c r="BO568" s="335">
        <v>1.21</v>
      </c>
      <c r="BP568" s="334">
        <v>1.28</v>
      </c>
      <c r="BQ568" s="334">
        <v>1.31</v>
      </c>
      <c r="BS568" s="333">
        <v>320</v>
      </c>
      <c r="BT568" s="334">
        <v>1</v>
      </c>
      <c r="BU568" s="334">
        <v>1.08</v>
      </c>
      <c r="BV568" s="335">
        <v>1.1299999999999999</v>
      </c>
      <c r="BW568" s="334">
        <v>1.1599999999999999</v>
      </c>
      <c r="BX568" s="334">
        <v>1.17</v>
      </c>
      <c r="BZ568" s="333">
        <v>320</v>
      </c>
      <c r="CA568" s="334">
        <v>1</v>
      </c>
      <c r="CB568" s="334">
        <v>1.04</v>
      </c>
      <c r="CC568" s="335">
        <v>1.06</v>
      </c>
      <c r="CD568" s="334">
        <v>1.06</v>
      </c>
      <c r="CE568" s="334">
        <v>1.04</v>
      </c>
      <c r="CG568" s="333">
        <v>320</v>
      </c>
      <c r="CH568" s="334">
        <v>1</v>
      </c>
      <c r="CI568" s="334">
        <v>1.01</v>
      </c>
      <c r="CJ568" s="335">
        <v>1</v>
      </c>
      <c r="CK568" s="334">
        <v>0.97</v>
      </c>
      <c r="CL568" s="334">
        <v>0.93</v>
      </c>
      <c r="CN568" s="333">
        <v>320</v>
      </c>
      <c r="CO568" s="334">
        <v>1</v>
      </c>
      <c r="CP568" s="334">
        <v>1</v>
      </c>
      <c r="CQ568" s="335">
        <v>0.98</v>
      </c>
      <c r="CR568" s="334">
        <v>0.93</v>
      </c>
      <c r="CS568" s="334">
        <v>0.88</v>
      </c>
    </row>
    <row r="569" spans="3:97" x14ac:dyDescent="0.25">
      <c r="C569" s="333">
        <v>70</v>
      </c>
      <c r="D569" s="334">
        <v>0.88</v>
      </c>
      <c r="E569" s="334">
        <v>0.9</v>
      </c>
      <c r="F569" s="334">
        <v>0.91</v>
      </c>
      <c r="G569" s="335">
        <v>0.9</v>
      </c>
      <c r="H569" s="334">
        <v>0.88</v>
      </c>
      <c r="I569" s="334">
        <v>0.84</v>
      </c>
      <c r="J569" s="334">
        <v>0.79</v>
      </c>
      <c r="K569" s="334">
        <v>0.73</v>
      </c>
      <c r="L569" s="334">
        <v>0.66</v>
      </c>
      <c r="M569" s="334">
        <v>0.59</v>
      </c>
      <c r="O569" s="333">
        <v>330</v>
      </c>
      <c r="P569" s="334">
        <v>1</v>
      </c>
      <c r="Q569" s="334">
        <v>1</v>
      </c>
      <c r="R569" s="335">
        <v>0.99</v>
      </c>
      <c r="S569" s="334">
        <v>0.95</v>
      </c>
      <c r="T569" s="334">
        <v>0.89</v>
      </c>
      <c r="V569" s="333">
        <v>330</v>
      </c>
      <c r="W569" s="334">
        <v>1</v>
      </c>
      <c r="X569" s="334">
        <v>1.03</v>
      </c>
      <c r="Y569" s="335">
        <v>1.04</v>
      </c>
      <c r="Z569" s="334">
        <v>1.03</v>
      </c>
      <c r="AA569" s="334">
        <v>0.99</v>
      </c>
      <c r="AC569" s="333">
        <v>330</v>
      </c>
      <c r="AD569" s="334">
        <v>1</v>
      </c>
      <c r="AE569" s="334">
        <v>1.08</v>
      </c>
      <c r="AF569" s="335">
        <v>1.1299999999999999</v>
      </c>
      <c r="AG569" s="334">
        <v>1.1499999999999999</v>
      </c>
      <c r="AH569" s="334">
        <v>1.1499999999999999</v>
      </c>
      <c r="AJ569" s="333">
        <v>330</v>
      </c>
      <c r="AK569" s="334">
        <v>1</v>
      </c>
      <c r="AL569" s="334">
        <v>1.1299999999999999</v>
      </c>
      <c r="AM569" s="335">
        <v>1.22</v>
      </c>
      <c r="AN569" s="334">
        <v>1.29</v>
      </c>
      <c r="AO569" s="334">
        <v>1.33</v>
      </c>
      <c r="AQ569" s="333">
        <v>330</v>
      </c>
      <c r="AR569" s="334">
        <v>1</v>
      </c>
      <c r="AS569" s="334">
        <v>1.17</v>
      </c>
      <c r="AT569" s="335">
        <v>1.31</v>
      </c>
      <c r="AU569" s="334">
        <v>1.42</v>
      </c>
      <c r="AV569" s="334">
        <v>1.5</v>
      </c>
      <c r="AX569" s="333">
        <v>330</v>
      </c>
      <c r="AY569" s="334">
        <v>1</v>
      </c>
      <c r="AZ569" s="334">
        <v>1.2</v>
      </c>
      <c r="BA569" s="335">
        <v>1.36</v>
      </c>
      <c r="BB569" s="334">
        <v>1.5</v>
      </c>
      <c r="BC569" s="334">
        <v>1.6</v>
      </c>
      <c r="BE569" s="333">
        <v>330</v>
      </c>
      <c r="BF569" s="334">
        <v>1</v>
      </c>
      <c r="BG569" s="334">
        <v>1.18</v>
      </c>
      <c r="BH569" s="335">
        <v>1.33</v>
      </c>
      <c r="BI569" s="334">
        <v>1.45</v>
      </c>
      <c r="BJ569" s="334">
        <v>1.53</v>
      </c>
      <c r="BL569" s="333">
        <v>330</v>
      </c>
      <c r="BM569" s="334">
        <v>1</v>
      </c>
      <c r="BN569" s="334">
        <v>1.1399999999999999</v>
      </c>
      <c r="BO569" s="335">
        <v>1.24</v>
      </c>
      <c r="BP569" s="334">
        <v>1.32</v>
      </c>
      <c r="BQ569" s="334">
        <v>1.36</v>
      </c>
      <c r="BS569" s="333">
        <v>330</v>
      </c>
      <c r="BT569" s="334">
        <v>1</v>
      </c>
      <c r="BU569" s="334">
        <v>1.0900000000000001</v>
      </c>
      <c r="BV569" s="335">
        <v>1.1499999999999999</v>
      </c>
      <c r="BW569" s="334">
        <v>1.18</v>
      </c>
      <c r="BX569" s="334">
        <v>1.19</v>
      </c>
      <c r="BZ569" s="333">
        <v>330</v>
      </c>
      <c r="CA569" s="334">
        <v>1</v>
      </c>
      <c r="CB569" s="334">
        <v>1.05</v>
      </c>
      <c r="CC569" s="335">
        <v>1.07</v>
      </c>
      <c r="CD569" s="334">
        <v>1.07</v>
      </c>
      <c r="CE569" s="334">
        <v>1.05</v>
      </c>
      <c r="CG569" s="333">
        <v>330</v>
      </c>
      <c r="CH569" s="334">
        <v>1</v>
      </c>
      <c r="CI569" s="334">
        <v>1.01</v>
      </c>
      <c r="CJ569" s="335">
        <v>1</v>
      </c>
      <c r="CK569" s="334">
        <v>0.97</v>
      </c>
      <c r="CL569" s="334">
        <v>0.92</v>
      </c>
      <c r="CN569" s="333">
        <v>330</v>
      </c>
      <c r="CO569" s="334">
        <v>1</v>
      </c>
      <c r="CP569" s="334">
        <v>1</v>
      </c>
      <c r="CQ569" s="335">
        <v>0.97</v>
      </c>
      <c r="CR569" s="334">
        <v>0.93</v>
      </c>
      <c r="CS569" s="334">
        <v>0.87</v>
      </c>
    </row>
    <row r="570" spans="3:97" x14ac:dyDescent="0.25">
      <c r="C570" s="333">
        <v>80</v>
      </c>
      <c r="D570" s="334">
        <v>0.88</v>
      </c>
      <c r="E570" s="334">
        <v>0.89</v>
      </c>
      <c r="F570" s="334">
        <v>0.89</v>
      </c>
      <c r="G570" s="335">
        <v>0.88</v>
      </c>
      <c r="H570" s="334">
        <v>0.85</v>
      </c>
      <c r="I570" s="334">
        <v>0.81</v>
      </c>
      <c r="J570" s="334">
        <v>0.76</v>
      </c>
      <c r="K570" s="334">
        <v>0.7</v>
      </c>
      <c r="L570" s="334">
        <v>0.63</v>
      </c>
      <c r="M570" s="334">
        <v>0.56000000000000005</v>
      </c>
      <c r="O570" s="333">
        <v>340</v>
      </c>
      <c r="P570" s="334">
        <v>1</v>
      </c>
      <c r="Q570" s="334">
        <v>1</v>
      </c>
      <c r="R570" s="335">
        <v>0.99</v>
      </c>
      <c r="S570" s="334">
        <v>0.94</v>
      </c>
      <c r="T570" s="334">
        <v>0.88</v>
      </c>
      <c r="V570" s="333">
        <v>340</v>
      </c>
      <c r="W570" s="334">
        <v>1</v>
      </c>
      <c r="X570" s="334">
        <v>1.03</v>
      </c>
      <c r="Y570" s="335">
        <v>1.04</v>
      </c>
      <c r="Z570" s="334">
        <v>1.03</v>
      </c>
      <c r="AA570" s="334">
        <v>0.99</v>
      </c>
      <c r="AC570" s="333">
        <v>340</v>
      </c>
      <c r="AD570" s="334">
        <v>1</v>
      </c>
      <c r="AE570" s="334">
        <v>1.08</v>
      </c>
      <c r="AF570" s="335">
        <v>1.1399999999999999</v>
      </c>
      <c r="AG570" s="334">
        <v>1.1599999999999999</v>
      </c>
      <c r="AH570" s="334">
        <v>1.1599999999999999</v>
      </c>
      <c r="AJ570" s="333">
        <v>340</v>
      </c>
      <c r="AK570" s="334">
        <v>1</v>
      </c>
      <c r="AL570" s="334">
        <v>1.1299999999999999</v>
      </c>
      <c r="AM570" s="335">
        <v>1.24</v>
      </c>
      <c r="AN570" s="334">
        <v>1.32</v>
      </c>
      <c r="AO570" s="334">
        <v>1.36</v>
      </c>
      <c r="AQ570" s="333">
        <v>340</v>
      </c>
      <c r="AR570" s="334">
        <v>1</v>
      </c>
      <c r="AS570" s="334">
        <v>1.18</v>
      </c>
      <c r="AT570" s="335">
        <v>1.34</v>
      </c>
      <c r="AU570" s="334">
        <v>1.46</v>
      </c>
      <c r="AV570" s="334">
        <v>1.54</v>
      </c>
      <c r="AX570" s="333">
        <v>340</v>
      </c>
      <c r="AY570" s="334">
        <v>1</v>
      </c>
      <c r="AZ570" s="334">
        <v>1.21</v>
      </c>
      <c r="BA570" s="335">
        <v>1.4</v>
      </c>
      <c r="BB570" s="334">
        <v>1.55</v>
      </c>
      <c r="BC570" s="334">
        <v>1.66</v>
      </c>
      <c r="BE570" s="333">
        <v>340</v>
      </c>
      <c r="BF570" s="334">
        <v>1</v>
      </c>
      <c r="BG570" s="334">
        <v>1.19</v>
      </c>
      <c r="BH570" s="335">
        <v>1.36</v>
      </c>
      <c r="BI570" s="334">
        <v>1.49</v>
      </c>
      <c r="BJ570" s="334">
        <v>1.58</v>
      </c>
      <c r="BL570" s="333">
        <v>340</v>
      </c>
      <c r="BM570" s="334">
        <v>1</v>
      </c>
      <c r="BN570" s="334">
        <v>1.1399999999999999</v>
      </c>
      <c r="BO570" s="335">
        <v>1.26</v>
      </c>
      <c r="BP570" s="334">
        <v>1.35</v>
      </c>
      <c r="BQ570" s="334">
        <v>1.4</v>
      </c>
      <c r="BS570" s="333">
        <v>340</v>
      </c>
      <c r="BT570" s="334">
        <v>1</v>
      </c>
      <c r="BU570" s="334">
        <v>1.0900000000000001</v>
      </c>
      <c r="BV570" s="335">
        <v>1.1599999999999999</v>
      </c>
      <c r="BW570" s="334">
        <v>1.2</v>
      </c>
      <c r="BX570" s="334">
        <v>1.21</v>
      </c>
      <c r="BZ570" s="333">
        <v>340</v>
      </c>
      <c r="CA570" s="334">
        <v>1</v>
      </c>
      <c r="CB570" s="334">
        <v>1.05</v>
      </c>
      <c r="CC570" s="335">
        <v>1.07</v>
      </c>
      <c r="CD570" s="334">
        <v>1.07</v>
      </c>
      <c r="CE570" s="334">
        <v>1.05</v>
      </c>
      <c r="CG570" s="333">
        <v>340</v>
      </c>
      <c r="CH570" s="334">
        <v>1</v>
      </c>
      <c r="CI570" s="334">
        <v>1.01</v>
      </c>
      <c r="CJ570" s="335">
        <v>1</v>
      </c>
      <c r="CK570" s="334">
        <v>0.97</v>
      </c>
      <c r="CL570" s="334">
        <v>0.92</v>
      </c>
      <c r="CN570" s="333">
        <v>340</v>
      </c>
      <c r="CO570" s="334">
        <v>1</v>
      </c>
      <c r="CP570" s="334">
        <v>1</v>
      </c>
      <c r="CQ570" s="335">
        <v>0.97</v>
      </c>
      <c r="CR570" s="334">
        <v>0.92</v>
      </c>
      <c r="CS570" s="334">
        <v>0.85</v>
      </c>
    </row>
    <row r="571" spans="3:97" x14ac:dyDescent="0.25">
      <c r="C571" s="333">
        <v>90</v>
      </c>
      <c r="D571" s="334">
        <v>0.88</v>
      </c>
      <c r="E571" s="334">
        <v>0.88</v>
      </c>
      <c r="F571" s="334">
        <v>0.87</v>
      </c>
      <c r="G571" s="335">
        <v>0.84</v>
      </c>
      <c r="H571" s="334">
        <v>0.81</v>
      </c>
      <c r="I571" s="334">
        <v>0.77</v>
      </c>
      <c r="J571" s="334">
        <v>0.72</v>
      </c>
      <c r="K571" s="334">
        <v>0.66</v>
      </c>
      <c r="L571" s="334">
        <v>0.6</v>
      </c>
      <c r="M571" s="334">
        <v>0.54</v>
      </c>
      <c r="O571" s="333">
        <v>350</v>
      </c>
      <c r="P571" s="334">
        <v>1</v>
      </c>
      <c r="Q571" s="334">
        <v>1</v>
      </c>
      <c r="R571" s="335">
        <v>0.98</v>
      </c>
      <c r="S571" s="334">
        <v>0.94</v>
      </c>
      <c r="T571" s="334">
        <v>0.88</v>
      </c>
      <c r="V571" s="333">
        <v>350</v>
      </c>
      <c r="W571" s="334">
        <v>1</v>
      </c>
      <c r="X571" s="334">
        <v>1.03</v>
      </c>
      <c r="Y571" s="335">
        <v>1.04</v>
      </c>
      <c r="Z571" s="334">
        <v>1.03</v>
      </c>
      <c r="AA571" s="334">
        <v>0.99</v>
      </c>
      <c r="AC571" s="333">
        <v>350</v>
      </c>
      <c r="AD571" s="334">
        <v>1</v>
      </c>
      <c r="AE571" s="334">
        <v>1.0900000000000001</v>
      </c>
      <c r="AF571" s="335">
        <v>1.1399999999999999</v>
      </c>
      <c r="AG571" s="334">
        <v>1.17</v>
      </c>
      <c r="AH571" s="334">
        <v>1.17</v>
      </c>
      <c r="AJ571" s="333">
        <v>350</v>
      </c>
      <c r="AK571" s="334">
        <v>1</v>
      </c>
      <c r="AL571" s="334">
        <v>1.1399999999999999</v>
      </c>
      <c r="AM571" s="335">
        <v>1.25</v>
      </c>
      <c r="AN571" s="334">
        <v>1.33</v>
      </c>
      <c r="AO571" s="334">
        <v>1.38</v>
      </c>
      <c r="AQ571" s="333">
        <v>350</v>
      </c>
      <c r="AR571" s="334">
        <v>1</v>
      </c>
      <c r="AS571" s="334">
        <v>1.19</v>
      </c>
      <c r="AT571" s="335">
        <v>1.36</v>
      </c>
      <c r="AU571" s="334">
        <v>1.49</v>
      </c>
      <c r="AV571" s="334">
        <v>1.58</v>
      </c>
      <c r="AX571" s="333">
        <v>350</v>
      </c>
      <c r="AY571" s="334">
        <v>1</v>
      </c>
      <c r="AZ571" s="334">
        <v>1.22</v>
      </c>
      <c r="BA571" s="335">
        <v>1.42</v>
      </c>
      <c r="BB571" s="334">
        <v>1.58</v>
      </c>
      <c r="BC571" s="334">
        <v>1.7</v>
      </c>
      <c r="BE571" s="333">
        <v>350</v>
      </c>
      <c r="BF571" s="334">
        <v>1</v>
      </c>
      <c r="BG571" s="334">
        <v>1.2</v>
      </c>
      <c r="BH571" s="335">
        <v>1.38</v>
      </c>
      <c r="BI571" s="334">
        <v>1.52</v>
      </c>
      <c r="BJ571" s="334">
        <v>1.62</v>
      </c>
      <c r="BL571" s="333">
        <v>350</v>
      </c>
      <c r="BM571" s="334">
        <v>1</v>
      </c>
      <c r="BN571" s="334">
        <v>1.1499999999999999</v>
      </c>
      <c r="BO571" s="335">
        <v>1.27</v>
      </c>
      <c r="BP571" s="334">
        <v>1.36</v>
      </c>
      <c r="BQ571" s="334">
        <v>1.42</v>
      </c>
      <c r="BS571" s="333">
        <v>350</v>
      </c>
      <c r="BT571" s="334">
        <v>1</v>
      </c>
      <c r="BU571" s="334">
        <v>1.0900000000000001</v>
      </c>
      <c r="BV571" s="335">
        <v>1.1599999999999999</v>
      </c>
      <c r="BW571" s="334">
        <v>1.21</v>
      </c>
      <c r="BX571" s="334">
        <v>1.22</v>
      </c>
      <c r="BZ571" s="333">
        <v>350</v>
      </c>
      <c r="CA571" s="334">
        <v>1</v>
      </c>
      <c r="CB571" s="334">
        <v>1.05</v>
      </c>
      <c r="CC571" s="335">
        <v>1.07</v>
      </c>
      <c r="CD571" s="334">
        <v>1.07</v>
      </c>
      <c r="CE571" s="334">
        <v>1.05</v>
      </c>
      <c r="CG571" s="333">
        <v>350</v>
      </c>
      <c r="CH571" s="334">
        <v>1</v>
      </c>
      <c r="CI571" s="334">
        <v>1.01</v>
      </c>
      <c r="CJ571" s="335">
        <v>1</v>
      </c>
      <c r="CK571" s="334">
        <v>0.97</v>
      </c>
      <c r="CL571" s="334">
        <v>0.91</v>
      </c>
      <c r="CN571" s="333">
        <v>350</v>
      </c>
      <c r="CO571" s="334">
        <v>1</v>
      </c>
      <c r="CP571" s="334">
        <v>0.99</v>
      </c>
      <c r="CQ571" s="335">
        <v>0.97</v>
      </c>
      <c r="CR571" s="334">
        <v>0.92</v>
      </c>
      <c r="CS571" s="334">
        <v>0.85</v>
      </c>
    </row>
    <row r="572" spans="3:97" x14ac:dyDescent="0.25">
      <c r="C572" s="333">
        <v>100</v>
      </c>
      <c r="D572" s="334">
        <v>0.88</v>
      </c>
      <c r="E572" s="334">
        <v>0.87</v>
      </c>
      <c r="F572" s="334">
        <v>0.85</v>
      </c>
      <c r="G572" s="335">
        <v>0.81</v>
      </c>
      <c r="H572" s="334">
        <v>0.77</v>
      </c>
      <c r="I572" s="334">
        <v>0.73</v>
      </c>
      <c r="J572" s="334">
        <v>0.68</v>
      </c>
      <c r="K572" s="334">
        <v>0.62</v>
      </c>
      <c r="L572" s="334">
        <v>0.56000000000000005</v>
      </c>
      <c r="M572" s="334">
        <v>0.5</v>
      </c>
      <c r="O572" s="333">
        <v>0</v>
      </c>
      <c r="P572" s="334">
        <v>1</v>
      </c>
      <c r="Q572" s="334">
        <v>1</v>
      </c>
      <c r="R572" s="335">
        <v>0.98</v>
      </c>
      <c r="S572" s="334">
        <v>0.94</v>
      </c>
      <c r="T572" s="334">
        <v>0.87</v>
      </c>
      <c r="V572" s="333">
        <v>0</v>
      </c>
      <c r="W572" s="334">
        <v>1</v>
      </c>
      <c r="X572" s="334">
        <v>1.03</v>
      </c>
      <c r="Y572" s="335">
        <v>1.04</v>
      </c>
      <c r="Z572" s="334">
        <v>1.03</v>
      </c>
      <c r="AA572" s="334">
        <v>0.99</v>
      </c>
      <c r="AC572" s="333">
        <v>0</v>
      </c>
      <c r="AD572" s="334">
        <v>1</v>
      </c>
      <c r="AE572" s="334">
        <v>1.0900000000000001</v>
      </c>
      <c r="AF572" s="335">
        <v>1.1399999999999999</v>
      </c>
      <c r="AG572" s="334">
        <v>1.17</v>
      </c>
      <c r="AH572" s="334">
        <v>1.17</v>
      </c>
      <c r="AJ572" s="333">
        <v>0</v>
      </c>
      <c r="AK572" s="334">
        <v>1</v>
      </c>
      <c r="AL572" s="334">
        <v>1.1399999999999999</v>
      </c>
      <c r="AM572" s="335">
        <v>1.25</v>
      </c>
      <c r="AN572" s="334">
        <v>1.33</v>
      </c>
      <c r="AO572" s="334">
        <v>1.38</v>
      </c>
      <c r="AQ572" s="333">
        <v>0</v>
      </c>
      <c r="AR572" s="334">
        <v>1</v>
      </c>
      <c r="AS572" s="334">
        <v>1.19</v>
      </c>
      <c r="AT572" s="335">
        <v>1.36</v>
      </c>
      <c r="AU572" s="334">
        <v>1.5</v>
      </c>
      <c r="AV572" s="334">
        <v>1.59</v>
      </c>
      <c r="AX572" s="333">
        <v>0</v>
      </c>
      <c r="AY572" s="334">
        <v>1</v>
      </c>
      <c r="AZ572" s="334">
        <v>1.22</v>
      </c>
      <c r="BA572" s="335">
        <v>1.43</v>
      </c>
      <c r="BB572" s="334">
        <v>1.59</v>
      </c>
      <c r="BC572" s="334">
        <v>1.71</v>
      </c>
      <c r="BE572" s="333">
        <v>0</v>
      </c>
      <c r="BF572" s="334">
        <v>1</v>
      </c>
      <c r="BG572" s="334">
        <v>1.21</v>
      </c>
      <c r="BH572" s="335">
        <v>1.38</v>
      </c>
      <c r="BI572" s="334">
        <v>1.53</v>
      </c>
      <c r="BJ572" s="334">
        <v>1.63</v>
      </c>
      <c r="BL572" s="333">
        <v>0</v>
      </c>
      <c r="BM572" s="334">
        <v>1</v>
      </c>
      <c r="BN572" s="334">
        <v>1.1499999999999999</v>
      </c>
      <c r="BO572" s="335">
        <v>1.28</v>
      </c>
      <c r="BP572" s="334">
        <v>1.37</v>
      </c>
      <c r="BQ572" s="334">
        <v>1.43</v>
      </c>
      <c r="BS572" s="333">
        <v>0</v>
      </c>
      <c r="BT572" s="334">
        <v>1</v>
      </c>
      <c r="BU572" s="334">
        <v>1.1000000000000001</v>
      </c>
      <c r="BV572" s="335">
        <v>1.17</v>
      </c>
      <c r="BW572" s="334">
        <v>1.21</v>
      </c>
      <c r="BX572" s="334">
        <v>1.22</v>
      </c>
      <c r="BZ572" s="333">
        <v>0</v>
      </c>
      <c r="CA572" s="334">
        <v>1</v>
      </c>
      <c r="CB572" s="334">
        <v>1.05</v>
      </c>
      <c r="CC572" s="335">
        <v>1.07</v>
      </c>
      <c r="CD572" s="334">
        <v>1.07</v>
      </c>
      <c r="CE572" s="334">
        <v>1.05</v>
      </c>
      <c r="CG572" s="333">
        <v>0</v>
      </c>
      <c r="CH572" s="334">
        <v>1</v>
      </c>
      <c r="CI572" s="334">
        <v>1.01</v>
      </c>
      <c r="CJ572" s="335">
        <v>1</v>
      </c>
      <c r="CK572" s="334">
        <v>0.96</v>
      </c>
      <c r="CL572" s="334">
        <v>0.91</v>
      </c>
      <c r="CN572" s="333">
        <v>0</v>
      </c>
      <c r="CO572" s="334">
        <v>1</v>
      </c>
      <c r="CP572" s="334">
        <v>0.99</v>
      </c>
      <c r="CQ572" s="335">
        <v>0.96</v>
      </c>
      <c r="CR572" s="334">
        <v>0.92</v>
      </c>
      <c r="CS572" s="334">
        <v>0.84</v>
      </c>
    </row>
    <row r="573" spans="3:97" x14ac:dyDescent="0.25">
      <c r="C573" s="333">
        <v>110</v>
      </c>
      <c r="D573" s="334">
        <v>0.88</v>
      </c>
      <c r="E573" s="334">
        <v>0.86</v>
      </c>
      <c r="F573" s="334">
        <v>0.83</v>
      </c>
      <c r="G573" s="335">
        <v>0.78</v>
      </c>
      <c r="H573" s="334">
        <v>0.74</v>
      </c>
      <c r="I573" s="334">
        <v>0.68</v>
      </c>
      <c r="J573" s="334">
        <v>0.63</v>
      </c>
      <c r="K573" s="334">
        <v>0.56999999999999995</v>
      </c>
      <c r="L573" s="334">
        <v>0.51</v>
      </c>
      <c r="M573" s="334">
        <v>0.46</v>
      </c>
      <c r="O573" s="333">
        <v>10</v>
      </c>
      <c r="P573" s="334">
        <v>1</v>
      </c>
      <c r="Q573" s="334">
        <v>1</v>
      </c>
      <c r="R573" s="335">
        <v>0.98</v>
      </c>
      <c r="S573" s="334">
        <v>0.94</v>
      </c>
      <c r="T573" s="334">
        <v>0.87</v>
      </c>
      <c r="V573" s="333">
        <v>10</v>
      </c>
      <c r="W573" s="334">
        <v>1</v>
      </c>
      <c r="X573" s="334">
        <v>1.03</v>
      </c>
      <c r="Y573" s="335">
        <v>1.04</v>
      </c>
      <c r="Z573" s="334">
        <v>1.03</v>
      </c>
      <c r="AA573" s="334">
        <v>0.99</v>
      </c>
      <c r="AC573" s="333">
        <v>10</v>
      </c>
      <c r="AD573" s="334">
        <v>1</v>
      </c>
      <c r="AE573" s="334">
        <v>1.08</v>
      </c>
      <c r="AF573" s="335">
        <v>1.1399999999999999</v>
      </c>
      <c r="AG573" s="334">
        <v>1.1599999999999999</v>
      </c>
      <c r="AH573" s="334">
        <v>1.1599999999999999</v>
      </c>
      <c r="AJ573" s="333">
        <v>10</v>
      </c>
      <c r="AK573" s="334">
        <v>1</v>
      </c>
      <c r="AL573" s="334">
        <v>1.1399999999999999</v>
      </c>
      <c r="AM573" s="335">
        <v>1.25</v>
      </c>
      <c r="AN573" s="334">
        <v>1.32</v>
      </c>
      <c r="AO573" s="334">
        <v>1.37</v>
      </c>
      <c r="AQ573" s="333">
        <v>10</v>
      </c>
      <c r="AR573" s="334">
        <v>1</v>
      </c>
      <c r="AS573" s="334">
        <v>1.19</v>
      </c>
      <c r="AT573" s="335">
        <v>1.36</v>
      </c>
      <c r="AU573" s="334">
        <v>1.49</v>
      </c>
      <c r="AV573" s="334">
        <v>1.58</v>
      </c>
      <c r="AX573" s="333">
        <v>10</v>
      </c>
      <c r="AY573" s="334">
        <v>1</v>
      </c>
      <c r="AZ573" s="334">
        <v>1.22</v>
      </c>
      <c r="BA573" s="335">
        <v>1.42</v>
      </c>
      <c r="BB573" s="334">
        <v>1.58</v>
      </c>
      <c r="BC573" s="334">
        <v>1.7</v>
      </c>
      <c r="BE573" s="333">
        <v>10</v>
      </c>
      <c r="BF573" s="334">
        <v>1</v>
      </c>
      <c r="BG573" s="334">
        <v>1.2</v>
      </c>
      <c r="BH573" s="335">
        <v>1.38</v>
      </c>
      <c r="BI573" s="334">
        <v>1.52</v>
      </c>
      <c r="BJ573" s="334">
        <v>1.62</v>
      </c>
      <c r="BL573" s="333">
        <v>10</v>
      </c>
      <c r="BM573" s="334">
        <v>1</v>
      </c>
      <c r="BN573" s="334">
        <v>1.1499999999999999</v>
      </c>
      <c r="BO573" s="335">
        <v>1.27</v>
      </c>
      <c r="BP573" s="334">
        <v>1.36</v>
      </c>
      <c r="BQ573" s="334">
        <v>1.42</v>
      </c>
      <c r="BS573" s="333">
        <v>10</v>
      </c>
      <c r="BT573" s="334">
        <v>1</v>
      </c>
      <c r="BU573" s="334">
        <v>1.0900000000000001</v>
      </c>
      <c r="BV573" s="335">
        <v>1.1599999999999999</v>
      </c>
      <c r="BW573" s="334">
        <v>1.2</v>
      </c>
      <c r="BX573" s="334">
        <v>1.21</v>
      </c>
      <c r="BZ573" s="333">
        <v>10</v>
      </c>
      <c r="CA573" s="334">
        <v>1</v>
      </c>
      <c r="CB573" s="334">
        <v>1.05</v>
      </c>
      <c r="CC573" s="335">
        <v>1.07</v>
      </c>
      <c r="CD573" s="334">
        <v>1.07</v>
      </c>
      <c r="CE573" s="334">
        <v>1.04</v>
      </c>
      <c r="CG573" s="333">
        <v>10</v>
      </c>
      <c r="CH573" s="334">
        <v>1</v>
      </c>
      <c r="CI573" s="334">
        <v>1.01</v>
      </c>
      <c r="CJ573" s="335">
        <v>1</v>
      </c>
      <c r="CK573" s="334">
        <v>0.97</v>
      </c>
      <c r="CL573" s="334">
        <v>0.91</v>
      </c>
      <c r="CN573" s="333">
        <v>10</v>
      </c>
      <c r="CO573" s="334">
        <v>1</v>
      </c>
      <c r="CP573" s="334">
        <v>0.99</v>
      </c>
      <c r="CQ573" s="335">
        <v>0.97</v>
      </c>
      <c r="CR573" s="334">
        <v>0.92</v>
      </c>
      <c r="CS573" s="334">
        <v>0.84</v>
      </c>
    </row>
    <row r="574" spans="3:97" x14ac:dyDescent="0.25">
      <c r="C574" s="333">
        <v>120</v>
      </c>
      <c r="D574" s="334">
        <v>0.88</v>
      </c>
      <c r="E574" s="334">
        <v>0.85</v>
      </c>
      <c r="F574" s="334">
        <v>0.81</v>
      </c>
      <c r="G574" s="335">
        <v>0.75</v>
      </c>
      <c r="H574" s="334">
        <v>0.69</v>
      </c>
      <c r="I574" s="334">
        <v>0.63</v>
      </c>
      <c r="J574" s="334">
        <v>0.57999999999999996</v>
      </c>
      <c r="K574" s="334">
        <v>0.52</v>
      </c>
      <c r="L574" s="334">
        <v>0.47</v>
      </c>
      <c r="M574" s="334">
        <v>0.42</v>
      </c>
      <c r="O574" s="333">
        <v>20</v>
      </c>
      <c r="P574" s="334">
        <v>1</v>
      </c>
      <c r="Q574" s="334">
        <v>1</v>
      </c>
      <c r="R574" s="335">
        <v>0.98</v>
      </c>
      <c r="S574" s="334">
        <v>0.94</v>
      </c>
      <c r="T574" s="334">
        <v>0.88</v>
      </c>
      <c r="V574" s="333">
        <v>20</v>
      </c>
      <c r="W574" s="334">
        <v>1</v>
      </c>
      <c r="X574" s="334">
        <v>1.03</v>
      </c>
      <c r="Y574" s="335">
        <v>1.04</v>
      </c>
      <c r="Z574" s="334">
        <v>1.03</v>
      </c>
      <c r="AA574" s="334">
        <v>0.99</v>
      </c>
      <c r="AC574" s="333">
        <v>20</v>
      </c>
      <c r="AD574" s="334">
        <v>1</v>
      </c>
      <c r="AE574" s="334">
        <v>1.08</v>
      </c>
      <c r="AF574" s="335">
        <v>1.1299999999999999</v>
      </c>
      <c r="AG574" s="334">
        <v>1.1499999999999999</v>
      </c>
      <c r="AH574" s="334">
        <v>1.1499999999999999</v>
      </c>
      <c r="AJ574" s="333">
        <v>20</v>
      </c>
      <c r="AK574" s="334">
        <v>1</v>
      </c>
      <c r="AL574" s="334">
        <v>1.1299999999999999</v>
      </c>
      <c r="AM574" s="335">
        <v>1.23</v>
      </c>
      <c r="AN574" s="334">
        <v>1.3</v>
      </c>
      <c r="AO574" s="334">
        <v>1.35</v>
      </c>
      <c r="AQ574" s="333">
        <v>20</v>
      </c>
      <c r="AR574" s="334">
        <v>1</v>
      </c>
      <c r="AS574" s="334">
        <v>1.18</v>
      </c>
      <c r="AT574" s="335">
        <v>1.34</v>
      </c>
      <c r="AU574" s="334">
        <v>1.46</v>
      </c>
      <c r="AV574" s="334">
        <v>1.55</v>
      </c>
      <c r="AX574" s="333">
        <v>20</v>
      </c>
      <c r="AY574" s="334">
        <v>1</v>
      </c>
      <c r="AZ574" s="334">
        <v>1.21</v>
      </c>
      <c r="BA574" s="335">
        <v>1.4</v>
      </c>
      <c r="BB574" s="334">
        <v>1.55</v>
      </c>
      <c r="BC574" s="334">
        <v>1.66</v>
      </c>
      <c r="BE574" s="333">
        <v>20</v>
      </c>
      <c r="BF574" s="334">
        <v>1</v>
      </c>
      <c r="BG574" s="334">
        <v>1.19</v>
      </c>
      <c r="BH574" s="335">
        <v>1.36</v>
      </c>
      <c r="BI574" s="334">
        <v>1.49</v>
      </c>
      <c r="BJ574" s="334">
        <v>1.58</v>
      </c>
      <c r="BL574" s="333">
        <v>20</v>
      </c>
      <c r="BM574" s="334">
        <v>1</v>
      </c>
      <c r="BN574" s="334">
        <v>1.1399999999999999</v>
      </c>
      <c r="BO574" s="335">
        <v>1.26</v>
      </c>
      <c r="BP574" s="334">
        <v>1.34</v>
      </c>
      <c r="BQ574" s="334">
        <v>1.4</v>
      </c>
      <c r="BS574" s="333">
        <v>20</v>
      </c>
      <c r="BT574" s="334">
        <v>1</v>
      </c>
      <c r="BU574" s="334">
        <v>1.0900000000000001</v>
      </c>
      <c r="BV574" s="335">
        <v>1.1499999999999999</v>
      </c>
      <c r="BW574" s="334">
        <v>1.19</v>
      </c>
      <c r="BX574" s="334">
        <v>1.2</v>
      </c>
      <c r="BZ574" s="333">
        <v>20</v>
      </c>
      <c r="CA574" s="334">
        <v>1</v>
      </c>
      <c r="CB574" s="334">
        <v>1.05</v>
      </c>
      <c r="CC574" s="335">
        <v>1.07</v>
      </c>
      <c r="CD574" s="334">
        <v>1.07</v>
      </c>
      <c r="CE574" s="334">
        <v>1.04</v>
      </c>
      <c r="CG574" s="333">
        <v>20</v>
      </c>
      <c r="CH574" s="334">
        <v>1</v>
      </c>
      <c r="CI574" s="334">
        <v>1.01</v>
      </c>
      <c r="CJ574" s="335">
        <v>1</v>
      </c>
      <c r="CK574" s="334">
        <v>0.97</v>
      </c>
      <c r="CL574" s="334">
        <v>0.92</v>
      </c>
      <c r="CN574" s="333">
        <v>20</v>
      </c>
      <c r="CO574" s="334">
        <v>1</v>
      </c>
      <c r="CP574" s="334">
        <v>1</v>
      </c>
      <c r="CQ574" s="335">
        <v>0.97</v>
      </c>
      <c r="CR574" s="334">
        <v>0.92</v>
      </c>
      <c r="CS574" s="334">
        <v>0.85</v>
      </c>
    </row>
    <row r="575" spans="3:97" x14ac:dyDescent="0.25">
      <c r="C575" s="333">
        <v>130</v>
      </c>
      <c r="D575" s="334">
        <v>0.88</v>
      </c>
      <c r="E575" s="334">
        <v>0.84</v>
      </c>
      <c r="F575" s="334">
        <v>0.79</v>
      </c>
      <c r="G575" s="335">
        <v>0.73</v>
      </c>
      <c r="H575" s="334">
        <v>0.66</v>
      </c>
      <c r="I575" s="334">
        <v>0.59</v>
      </c>
      <c r="J575" s="334">
        <v>0.53</v>
      </c>
      <c r="K575" s="334">
        <v>0.47</v>
      </c>
      <c r="L575" s="334">
        <v>0.42</v>
      </c>
      <c r="M575" s="334">
        <v>0.38</v>
      </c>
      <c r="O575" s="333">
        <v>30</v>
      </c>
      <c r="P575" s="334">
        <v>1</v>
      </c>
      <c r="Q575" s="334">
        <v>1</v>
      </c>
      <c r="R575" s="335">
        <v>0.98</v>
      </c>
      <c r="S575" s="334">
        <v>0.95</v>
      </c>
      <c r="T575" s="334">
        <v>0.89</v>
      </c>
      <c r="V575" s="333">
        <v>30</v>
      </c>
      <c r="W575" s="334">
        <v>1</v>
      </c>
      <c r="X575" s="334">
        <v>1.03</v>
      </c>
      <c r="Y575" s="335">
        <v>1.04</v>
      </c>
      <c r="Z575" s="334">
        <v>1.03</v>
      </c>
      <c r="AA575" s="334">
        <v>0.99</v>
      </c>
      <c r="AC575" s="333">
        <v>30</v>
      </c>
      <c r="AD575" s="334">
        <v>1</v>
      </c>
      <c r="AE575" s="334">
        <v>1.07</v>
      </c>
      <c r="AF575" s="335">
        <v>1.1200000000000001</v>
      </c>
      <c r="AG575" s="334">
        <v>1.1399999999999999</v>
      </c>
      <c r="AH575" s="334">
        <v>1.1299999999999999</v>
      </c>
      <c r="AJ575" s="333">
        <v>30</v>
      </c>
      <c r="AK575" s="334">
        <v>1</v>
      </c>
      <c r="AL575" s="334">
        <v>1.1200000000000001</v>
      </c>
      <c r="AM575" s="335">
        <v>1.21</v>
      </c>
      <c r="AN575" s="334">
        <v>1.27</v>
      </c>
      <c r="AO575" s="334">
        <v>1.3</v>
      </c>
      <c r="AQ575" s="333">
        <v>30</v>
      </c>
      <c r="AR575" s="334">
        <v>1</v>
      </c>
      <c r="AS575" s="334">
        <v>1.17</v>
      </c>
      <c r="AT575" s="335">
        <v>1.31</v>
      </c>
      <c r="AU575" s="334">
        <v>1.42</v>
      </c>
      <c r="AV575" s="334">
        <v>1.5</v>
      </c>
      <c r="AX575" s="333">
        <v>30</v>
      </c>
      <c r="AY575" s="334">
        <v>1</v>
      </c>
      <c r="AZ575" s="334">
        <v>1.2</v>
      </c>
      <c r="BA575" s="335">
        <v>1.37</v>
      </c>
      <c r="BB575" s="334">
        <v>1.5</v>
      </c>
      <c r="BC575" s="334">
        <v>1.61</v>
      </c>
      <c r="BE575" s="333">
        <v>30</v>
      </c>
      <c r="BF575" s="334">
        <v>1</v>
      </c>
      <c r="BG575" s="334">
        <v>1.18</v>
      </c>
      <c r="BH575" s="335">
        <v>1.33</v>
      </c>
      <c r="BI575" s="334">
        <v>1.45</v>
      </c>
      <c r="BJ575" s="334">
        <v>1.53</v>
      </c>
      <c r="BL575" s="333">
        <v>30</v>
      </c>
      <c r="BM575" s="334">
        <v>1</v>
      </c>
      <c r="BN575" s="334">
        <v>1.1399999999999999</v>
      </c>
      <c r="BO575" s="335">
        <v>1.24</v>
      </c>
      <c r="BP575" s="334">
        <v>1.31</v>
      </c>
      <c r="BQ575" s="334">
        <v>1.36</v>
      </c>
      <c r="BS575" s="333">
        <v>30</v>
      </c>
      <c r="BT575" s="334">
        <v>1</v>
      </c>
      <c r="BU575" s="334">
        <v>1.08</v>
      </c>
      <c r="BV575" s="335">
        <v>1.1399999999999999</v>
      </c>
      <c r="BW575" s="334">
        <v>1.17</v>
      </c>
      <c r="BX575" s="334">
        <v>1.17</v>
      </c>
      <c r="BZ575" s="333">
        <v>30</v>
      </c>
      <c r="CA575" s="334">
        <v>1</v>
      </c>
      <c r="CB575" s="334">
        <v>1.04</v>
      </c>
      <c r="CC575" s="335">
        <v>1.06</v>
      </c>
      <c r="CD575" s="334">
        <v>1.06</v>
      </c>
      <c r="CE575" s="334">
        <v>1.03</v>
      </c>
      <c r="CG575" s="333">
        <v>30</v>
      </c>
      <c r="CH575" s="334">
        <v>1</v>
      </c>
      <c r="CI575" s="334">
        <v>1.01</v>
      </c>
      <c r="CJ575" s="335">
        <v>1</v>
      </c>
      <c r="CK575" s="334">
        <v>0.97</v>
      </c>
      <c r="CL575" s="334">
        <v>0.92</v>
      </c>
      <c r="CN575" s="333">
        <v>30</v>
      </c>
      <c r="CO575" s="334">
        <v>1</v>
      </c>
      <c r="CP575" s="334">
        <v>1</v>
      </c>
      <c r="CQ575" s="335">
        <v>0.97</v>
      </c>
      <c r="CR575" s="334">
        <v>0.93</v>
      </c>
      <c r="CS575" s="334">
        <v>0.86</v>
      </c>
    </row>
    <row r="576" spans="3:97" x14ac:dyDescent="0.25">
      <c r="C576" s="333">
        <v>140</v>
      </c>
      <c r="D576" s="334">
        <v>0.88</v>
      </c>
      <c r="E576" s="334">
        <v>0.83</v>
      </c>
      <c r="F576" s="334">
        <v>0.77</v>
      </c>
      <c r="G576" s="335">
        <v>0.7</v>
      </c>
      <c r="H576" s="334">
        <v>0.62</v>
      </c>
      <c r="I576" s="334">
        <v>0.55000000000000004</v>
      </c>
      <c r="J576" s="334">
        <v>0.48</v>
      </c>
      <c r="K576" s="334">
        <v>0.42</v>
      </c>
      <c r="L576" s="334">
        <v>0.38</v>
      </c>
      <c r="M576" s="334">
        <v>0.33</v>
      </c>
      <c r="O576" s="333">
        <v>40</v>
      </c>
      <c r="P576" s="334">
        <v>1</v>
      </c>
      <c r="Q576" s="334">
        <v>1</v>
      </c>
      <c r="R576" s="335">
        <v>0.98</v>
      </c>
      <c r="S576" s="334">
        <v>0.95</v>
      </c>
      <c r="T576" s="334">
        <v>0.9</v>
      </c>
      <c r="V576" s="333">
        <v>40</v>
      </c>
      <c r="W576" s="334">
        <v>1</v>
      </c>
      <c r="X576" s="334">
        <v>1.03</v>
      </c>
      <c r="Y576" s="335">
        <v>1.03</v>
      </c>
      <c r="Z576" s="334">
        <v>1.02</v>
      </c>
      <c r="AA576" s="334">
        <v>0.98</v>
      </c>
      <c r="AC576" s="333">
        <v>40</v>
      </c>
      <c r="AD576" s="334">
        <v>1</v>
      </c>
      <c r="AE576" s="334">
        <v>1.06</v>
      </c>
      <c r="AF576" s="335">
        <v>1.1000000000000001</v>
      </c>
      <c r="AG576" s="334">
        <v>1.1200000000000001</v>
      </c>
      <c r="AH576" s="334">
        <v>1.1100000000000001</v>
      </c>
      <c r="AJ576" s="333">
        <v>40</v>
      </c>
      <c r="AK576" s="334">
        <v>1</v>
      </c>
      <c r="AL576" s="334">
        <v>1.1100000000000001</v>
      </c>
      <c r="AM576" s="335">
        <v>1.19</v>
      </c>
      <c r="AN576" s="334">
        <v>1.24</v>
      </c>
      <c r="AO576" s="334">
        <v>1.26</v>
      </c>
      <c r="AQ576" s="333">
        <v>40</v>
      </c>
      <c r="AR576" s="334">
        <v>1</v>
      </c>
      <c r="AS576" s="334">
        <v>1.1499999999999999</v>
      </c>
      <c r="AT576" s="335">
        <v>1.27</v>
      </c>
      <c r="AU576" s="334">
        <v>1.38</v>
      </c>
      <c r="AV576" s="334">
        <v>1.43</v>
      </c>
      <c r="AX576" s="333">
        <v>40</v>
      </c>
      <c r="AY576" s="334">
        <v>1</v>
      </c>
      <c r="AZ576" s="334">
        <v>1.18</v>
      </c>
      <c r="BA576" s="335">
        <v>1.33</v>
      </c>
      <c r="BB576" s="334">
        <v>1.45</v>
      </c>
      <c r="BC576" s="334">
        <v>1.52</v>
      </c>
      <c r="BE576" s="333">
        <v>40</v>
      </c>
      <c r="BF576" s="334">
        <v>1</v>
      </c>
      <c r="BG576" s="334">
        <v>1.1599999999999999</v>
      </c>
      <c r="BH576" s="335">
        <v>1.29</v>
      </c>
      <c r="BI576" s="334">
        <v>1.39</v>
      </c>
      <c r="BJ576" s="334">
        <v>1.46</v>
      </c>
      <c r="BL576" s="333">
        <v>40</v>
      </c>
      <c r="BM576" s="334">
        <v>1</v>
      </c>
      <c r="BN576" s="334">
        <v>1.1100000000000001</v>
      </c>
      <c r="BO576" s="335">
        <v>1.21</v>
      </c>
      <c r="BP576" s="334">
        <v>1.27</v>
      </c>
      <c r="BQ576" s="334">
        <v>1.31</v>
      </c>
      <c r="BS576" s="333">
        <v>40</v>
      </c>
      <c r="BT576" s="334">
        <v>1</v>
      </c>
      <c r="BU576" s="334">
        <v>1.07</v>
      </c>
      <c r="BV576" s="335">
        <v>1.1299999999999999</v>
      </c>
      <c r="BW576" s="334">
        <v>1.1499999999999999</v>
      </c>
      <c r="BX576" s="334">
        <v>1.1499999999999999</v>
      </c>
      <c r="BZ576" s="333">
        <v>40</v>
      </c>
      <c r="CA576" s="334">
        <v>1</v>
      </c>
      <c r="CB576" s="334">
        <v>1.04</v>
      </c>
      <c r="CC576" s="335">
        <v>1.05</v>
      </c>
      <c r="CD576" s="334">
        <v>1.05</v>
      </c>
      <c r="CE576" s="334">
        <v>1.02</v>
      </c>
      <c r="CG576" s="333">
        <v>40</v>
      </c>
      <c r="CH576" s="334">
        <v>1</v>
      </c>
      <c r="CI576" s="334">
        <v>1.01</v>
      </c>
      <c r="CJ576" s="335">
        <v>1</v>
      </c>
      <c r="CK576" s="334">
        <v>0.97</v>
      </c>
      <c r="CL576" s="334">
        <v>0.93</v>
      </c>
      <c r="CN576" s="333">
        <v>40</v>
      </c>
      <c r="CO576" s="334">
        <v>1</v>
      </c>
      <c r="CP576" s="334">
        <v>1</v>
      </c>
      <c r="CQ576" s="335">
        <v>0.97</v>
      </c>
      <c r="CR576" s="334">
        <v>0.93</v>
      </c>
      <c r="CS576" s="334">
        <v>0.88</v>
      </c>
    </row>
    <row r="577" spans="3:97" x14ac:dyDescent="0.25">
      <c r="C577" s="333">
        <v>150</v>
      </c>
      <c r="D577" s="334">
        <v>0.88</v>
      </c>
      <c r="E577" s="334">
        <v>0.83</v>
      </c>
      <c r="F577" s="334">
        <v>0.76</v>
      </c>
      <c r="G577" s="335">
        <v>0.68</v>
      </c>
      <c r="H577" s="334">
        <v>0.59</v>
      </c>
      <c r="I577" s="334">
        <v>0.51</v>
      </c>
      <c r="J577" s="334">
        <v>0.44</v>
      </c>
      <c r="K577" s="334">
        <v>0.38</v>
      </c>
      <c r="L577" s="334">
        <v>0.33</v>
      </c>
      <c r="M577" s="334">
        <v>0.3</v>
      </c>
      <c r="O577" s="333">
        <v>50</v>
      </c>
      <c r="P577" s="334">
        <v>1</v>
      </c>
      <c r="Q577" s="334">
        <v>1</v>
      </c>
      <c r="R577" s="335">
        <v>0.98</v>
      </c>
      <c r="S577" s="334">
        <v>0.95</v>
      </c>
      <c r="T577" s="334">
        <v>0.9</v>
      </c>
      <c r="V577" s="333">
        <v>50</v>
      </c>
      <c r="W577" s="334">
        <v>1</v>
      </c>
      <c r="X577" s="334">
        <v>1.02</v>
      </c>
      <c r="Y577" s="335">
        <v>1.03</v>
      </c>
      <c r="Z577" s="334">
        <v>1.01</v>
      </c>
      <c r="AA577" s="334">
        <v>0.98</v>
      </c>
      <c r="AC577" s="333">
        <v>50</v>
      </c>
      <c r="AD577" s="334">
        <v>1</v>
      </c>
      <c r="AE577" s="334">
        <v>1.05</v>
      </c>
      <c r="AF577" s="335">
        <v>1.0900000000000001</v>
      </c>
      <c r="AG577" s="334">
        <v>1.0900000000000001</v>
      </c>
      <c r="AH577" s="334">
        <v>1.08</v>
      </c>
      <c r="AJ577" s="333">
        <v>50</v>
      </c>
      <c r="AK577" s="334">
        <v>1</v>
      </c>
      <c r="AL577" s="334">
        <v>1.0900000000000001</v>
      </c>
      <c r="AM577" s="335">
        <v>1.1499999999999999</v>
      </c>
      <c r="AN577" s="334">
        <v>1.2</v>
      </c>
      <c r="AO577" s="334">
        <v>1.21</v>
      </c>
      <c r="AQ577" s="333">
        <v>50</v>
      </c>
      <c r="AR577" s="334">
        <v>1</v>
      </c>
      <c r="AS577" s="334">
        <v>1.1299999999999999</v>
      </c>
      <c r="AT577" s="335">
        <v>1.23</v>
      </c>
      <c r="AU577" s="334">
        <v>1.31</v>
      </c>
      <c r="AV577" s="334">
        <v>1.36</v>
      </c>
      <c r="AX577" s="333">
        <v>50</v>
      </c>
      <c r="AY577" s="334">
        <v>1</v>
      </c>
      <c r="AZ577" s="334">
        <v>1.1499999999999999</v>
      </c>
      <c r="BA577" s="335">
        <v>1.28</v>
      </c>
      <c r="BB577" s="334">
        <v>1.37</v>
      </c>
      <c r="BC577" s="334">
        <v>1.44</v>
      </c>
      <c r="BE577" s="333">
        <v>50</v>
      </c>
      <c r="BF577" s="334">
        <v>1</v>
      </c>
      <c r="BG577" s="334">
        <v>1.1299999999999999</v>
      </c>
      <c r="BH577" s="335">
        <v>1.24</v>
      </c>
      <c r="BI577" s="334">
        <v>1.33</v>
      </c>
      <c r="BJ577" s="334">
        <v>1.38</v>
      </c>
      <c r="BL577" s="333">
        <v>50</v>
      </c>
      <c r="BM577" s="334">
        <v>1</v>
      </c>
      <c r="BN577" s="334">
        <v>1.1000000000000001</v>
      </c>
      <c r="BO577" s="335">
        <v>1.17</v>
      </c>
      <c r="BP577" s="334">
        <v>1.23</v>
      </c>
      <c r="BQ577" s="334">
        <v>1.25</v>
      </c>
      <c r="BS577" s="333">
        <v>50</v>
      </c>
      <c r="BT577" s="334">
        <v>1</v>
      </c>
      <c r="BU577" s="334">
        <v>1.06</v>
      </c>
      <c r="BV577" s="335">
        <v>1.1000000000000001</v>
      </c>
      <c r="BW577" s="334">
        <v>1.1200000000000001</v>
      </c>
      <c r="BX577" s="334">
        <v>1.1100000000000001</v>
      </c>
      <c r="BZ577" s="333">
        <v>50</v>
      </c>
      <c r="CA577" s="334">
        <v>1</v>
      </c>
      <c r="CB577" s="334">
        <v>1.03</v>
      </c>
      <c r="CC577" s="335">
        <v>1.04</v>
      </c>
      <c r="CD577" s="334">
        <v>1.03</v>
      </c>
      <c r="CE577" s="334">
        <v>1</v>
      </c>
      <c r="CG577" s="333">
        <v>50</v>
      </c>
      <c r="CH577" s="334">
        <v>1</v>
      </c>
      <c r="CI577" s="334">
        <v>1.01</v>
      </c>
      <c r="CJ577" s="335">
        <v>1</v>
      </c>
      <c r="CK577" s="334">
        <v>0.98</v>
      </c>
      <c r="CL577" s="334">
        <v>0.93</v>
      </c>
      <c r="CN577" s="333">
        <v>50</v>
      </c>
      <c r="CO577" s="334">
        <v>1</v>
      </c>
      <c r="CP577" s="334">
        <v>1</v>
      </c>
      <c r="CQ577" s="335">
        <v>0.98</v>
      </c>
      <c r="CR577" s="334">
        <v>0.94</v>
      </c>
      <c r="CS577" s="334">
        <v>0.89</v>
      </c>
    </row>
    <row r="578" spans="3:97" x14ac:dyDescent="0.25">
      <c r="C578" s="333">
        <v>160</v>
      </c>
      <c r="D578" s="334">
        <v>0.88</v>
      </c>
      <c r="E578" s="334">
        <v>0.82</v>
      </c>
      <c r="F578" s="334">
        <v>0.75</v>
      </c>
      <c r="G578" s="335">
        <v>0.66</v>
      </c>
      <c r="H578" s="334">
        <v>0.56999999999999995</v>
      </c>
      <c r="I578" s="334">
        <v>0.48</v>
      </c>
      <c r="J578" s="334">
        <v>0.4</v>
      </c>
      <c r="K578" s="334">
        <v>0.34</v>
      </c>
      <c r="L578" s="334">
        <v>0.3</v>
      </c>
      <c r="M578" s="334">
        <v>0.27</v>
      </c>
      <c r="O578" s="333">
        <v>60</v>
      </c>
      <c r="P578" s="334">
        <v>1</v>
      </c>
      <c r="Q578" s="334">
        <v>1</v>
      </c>
      <c r="R578" s="335">
        <v>0.99</v>
      </c>
      <c r="S578" s="334">
        <v>0.95</v>
      </c>
      <c r="T578" s="334">
        <v>0.91</v>
      </c>
      <c r="V578" s="333">
        <v>60</v>
      </c>
      <c r="W578" s="334">
        <v>1</v>
      </c>
      <c r="X578" s="334">
        <v>1.02</v>
      </c>
      <c r="Y578" s="335">
        <v>1.02</v>
      </c>
      <c r="Z578" s="334">
        <v>1</v>
      </c>
      <c r="AA578" s="334">
        <v>0.97</v>
      </c>
      <c r="AC578" s="333">
        <v>60</v>
      </c>
      <c r="AD578" s="334">
        <v>1</v>
      </c>
      <c r="AE578" s="334">
        <v>1.04</v>
      </c>
      <c r="AF578" s="335">
        <v>1.06</v>
      </c>
      <c r="AG578" s="334">
        <v>1.06</v>
      </c>
      <c r="AH578" s="334">
        <v>1.05</v>
      </c>
      <c r="AJ578" s="333">
        <v>60</v>
      </c>
      <c r="AK578" s="334">
        <v>1</v>
      </c>
      <c r="AL578" s="334">
        <v>1.07</v>
      </c>
      <c r="AM578" s="335">
        <v>1.1200000000000001</v>
      </c>
      <c r="AN578" s="334">
        <v>1.1499999999999999</v>
      </c>
      <c r="AO578" s="334">
        <v>1.1499999999999999</v>
      </c>
      <c r="AQ578" s="333">
        <v>60</v>
      </c>
      <c r="AR578" s="334">
        <v>1</v>
      </c>
      <c r="AS578" s="334">
        <v>1.1000000000000001</v>
      </c>
      <c r="AT578" s="335">
        <v>1.18</v>
      </c>
      <c r="AU578" s="334">
        <v>1.24</v>
      </c>
      <c r="AV578" s="334">
        <v>1.27</v>
      </c>
      <c r="AX578" s="333">
        <v>60</v>
      </c>
      <c r="AY578" s="334">
        <v>1</v>
      </c>
      <c r="AZ578" s="334">
        <v>1.1200000000000001</v>
      </c>
      <c r="BA578" s="335">
        <v>1.21</v>
      </c>
      <c r="BB578" s="334">
        <v>1.29</v>
      </c>
      <c r="BC578" s="334">
        <v>1.34</v>
      </c>
      <c r="BE578" s="333">
        <v>60</v>
      </c>
      <c r="BF578" s="334">
        <v>1</v>
      </c>
      <c r="BG578" s="334">
        <v>1.1100000000000001</v>
      </c>
      <c r="BH578" s="335">
        <v>1.2</v>
      </c>
      <c r="BI578" s="334">
        <v>1.26</v>
      </c>
      <c r="BJ578" s="334">
        <v>1.29</v>
      </c>
      <c r="BL578" s="333">
        <v>60</v>
      </c>
      <c r="BM578" s="334">
        <v>1</v>
      </c>
      <c r="BN578" s="334">
        <v>1.08</v>
      </c>
      <c r="BO578" s="335">
        <v>1.1399999999999999</v>
      </c>
      <c r="BP578" s="334">
        <v>1.18</v>
      </c>
      <c r="BQ578" s="334">
        <v>1.19</v>
      </c>
      <c r="BS578" s="333">
        <v>60</v>
      </c>
      <c r="BT578" s="334">
        <v>1</v>
      </c>
      <c r="BU578" s="334">
        <v>1.05</v>
      </c>
      <c r="BV578" s="335">
        <v>1.08</v>
      </c>
      <c r="BW578" s="334">
        <v>1.0900000000000001</v>
      </c>
      <c r="BX578" s="334">
        <v>1.08</v>
      </c>
      <c r="BZ578" s="333">
        <v>60</v>
      </c>
      <c r="CA578" s="334">
        <v>1</v>
      </c>
      <c r="CB578" s="334">
        <v>1.02</v>
      </c>
      <c r="CC578" s="335">
        <v>1.03</v>
      </c>
      <c r="CD578" s="334">
        <v>1.02</v>
      </c>
      <c r="CE578" s="334">
        <v>0.99</v>
      </c>
      <c r="CG578" s="333">
        <v>60</v>
      </c>
      <c r="CH578" s="334">
        <v>1</v>
      </c>
      <c r="CI578" s="334">
        <v>1.01</v>
      </c>
      <c r="CJ578" s="335">
        <v>1</v>
      </c>
      <c r="CK578" s="334">
        <v>0.98</v>
      </c>
      <c r="CL578" s="334">
        <v>0.93</v>
      </c>
      <c r="CN578" s="333">
        <v>60</v>
      </c>
      <c r="CO578" s="334">
        <v>1</v>
      </c>
      <c r="CP578" s="334">
        <v>1</v>
      </c>
      <c r="CQ578" s="335">
        <v>0.98</v>
      </c>
      <c r="CR578" s="334">
        <v>0.94</v>
      </c>
      <c r="CS578" s="334">
        <v>0.9</v>
      </c>
    </row>
    <row r="579" spans="3:97" x14ac:dyDescent="0.25">
      <c r="C579" s="333">
        <v>170</v>
      </c>
      <c r="D579" s="334">
        <v>0.88</v>
      </c>
      <c r="E579" s="334">
        <v>0.82</v>
      </c>
      <c r="F579" s="334">
        <v>0.75</v>
      </c>
      <c r="G579" s="335">
        <v>0.65</v>
      </c>
      <c r="H579" s="334">
        <v>0.56000000000000005</v>
      </c>
      <c r="I579" s="334">
        <v>0.47</v>
      </c>
      <c r="J579" s="334">
        <v>0.39</v>
      </c>
      <c r="K579" s="334">
        <v>0.32</v>
      </c>
      <c r="L579" s="334">
        <v>0.27</v>
      </c>
      <c r="M579" s="334">
        <v>0.25</v>
      </c>
      <c r="O579" s="333">
        <v>70</v>
      </c>
      <c r="P579" s="334">
        <v>1</v>
      </c>
      <c r="Q579" s="334">
        <v>1</v>
      </c>
      <c r="R579" s="335">
        <v>0.99</v>
      </c>
      <c r="S579" s="334">
        <v>0.95</v>
      </c>
      <c r="T579" s="334">
        <v>0.91</v>
      </c>
      <c r="V579" s="333">
        <v>70</v>
      </c>
      <c r="W579" s="334">
        <v>1</v>
      </c>
      <c r="X579" s="334">
        <v>1.01</v>
      </c>
      <c r="Y579" s="335">
        <v>1.01</v>
      </c>
      <c r="Z579" s="334">
        <v>0.99</v>
      </c>
      <c r="AA579" s="334">
        <v>0.96</v>
      </c>
      <c r="AC579" s="333">
        <v>70</v>
      </c>
      <c r="AD579" s="334">
        <v>1</v>
      </c>
      <c r="AE579" s="334">
        <v>1.03</v>
      </c>
      <c r="AF579" s="335">
        <v>1.04</v>
      </c>
      <c r="AG579" s="334">
        <v>1.03</v>
      </c>
      <c r="AH579" s="334">
        <v>1.01</v>
      </c>
      <c r="AJ579" s="333">
        <v>70</v>
      </c>
      <c r="AK579" s="334">
        <v>1</v>
      </c>
      <c r="AL579" s="334">
        <v>1.05</v>
      </c>
      <c r="AM579" s="335">
        <v>1.08</v>
      </c>
      <c r="AN579" s="334">
        <v>1.0900000000000001</v>
      </c>
      <c r="AO579" s="334">
        <v>1.0900000000000001</v>
      </c>
      <c r="AQ579" s="333">
        <v>70</v>
      </c>
      <c r="AR579" s="334">
        <v>1</v>
      </c>
      <c r="AS579" s="334">
        <v>1.07</v>
      </c>
      <c r="AT579" s="335">
        <v>1.1299999999999999</v>
      </c>
      <c r="AU579" s="334">
        <v>1.17</v>
      </c>
      <c r="AV579" s="334">
        <v>1.18</v>
      </c>
      <c r="AX579" s="333">
        <v>70</v>
      </c>
      <c r="AY579" s="334">
        <v>1</v>
      </c>
      <c r="AZ579" s="334">
        <v>1.08</v>
      </c>
      <c r="BA579" s="335">
        <v>1.1599999999999999</v>
      </c>
      <c r="BB579" s="334">
        <v>1.21</v>
      </c>
      <c r="BC579" s="334">
        <v>1.22</v>
      </c>
      <c r="BE579" s="333">
        <v>70</v>
      </c>
      <c r="BF579" s="334">
        <v>1</v>
      </c>
      <c r="BG579" s="334">
        <v>1.07</v>
      </c>
      <c r="BH579" s="335">
        <v>1.1299999999999999</v>
      </c>
      <c r="BI579" s="334">
        <v>1.18</v>
      </c>
      <c r="BJ579" s="334">
        <v>1.2</v>
      </c>
      <c r="BL579" s="333">
        <v>70</v>
      </c>
      <c r="BM579" s="334">
        <v>1</v>
      </c>
      <c r="BN579" s="334">
        <v>1.06</v>
      </c>
      <c r="BO579" s="335">
        <v>1.1000000000000001</v>
      </c>
      <c r="BP579" s="334">
        <v>1.1100000000000001</v>
      </c>
      <c r="BQ579" s="334">
        <v>1.1200000000000001</v>
      </c>
      <c r="BS579" s="333">
        <v>70</v>
      </c>
      <c r="BT579" s="334">
        <v>1</v>
      </c>
      <c r="BU579" s="334">
        <v>1.03</v>
      </c>
      <c r="BV579" s="335">
        <v>1.05</v>
      </c>
      <c r="BW579" s="334">
        <v>1.05</v>
      </c>
      <c r="BX579" s="334">
        <v>1.04</v>
      </c>
      <c r="BZ579" s="333">
        <v>70</v>
      </c>
      <c r="CA579" s="334">
        <v>1</v>
      </c>
      <c r="CB579" s="334">
        <v>1.02</v>
      </c>
      <c r="CC579" s="335">
        <v>1.01</v>
      </c>
      <c r="CD579" s="334">
        <v>1</v>
      </c>
      <c r="CE579" s="334">
        <v>0.97</v>
      </c>
      <c r="CG579" s="333">
        <v>70</v>
      </c>
      <c r="CH579" s="334">
        <v>1</v>
      </c>
      <c r="CI579" s="334">
        <v>1</v>
      </c>
      <c r="CJ579" s="335">
        <v>1</v>
      </c>
      <c r="CK579" s="334">
        <v>0.97</v>
      </c>
      <c r="CL579" s="334">
        <v>0.93</v>
      </c>
      <c r="CN579" s="333">
        <v>70</v>
      </c>
      <c r="CO579" s="334">
        <v>1</v>
      </c>
      <c r="CP579" s="334">
        <v>1</v>
      </c>
      <c r="CQ579" s="335">
        <v>0.98</v>
      </c>
      <c r="CR579" s="334">
        <v>0.95</v>
      </c>
      <c r="CS579" s="334">
        <v>0.9</v>
      </c>
    </row>
    <row r="580" spans="3:97" x14ac:dyDescent="0.25">
      <c r="C580" s="333">
        <v>180</v>
      </c>
      <c r="D580" s="334">
        <v>0.88</v>
      </c>
      <c r="E580" s="334">
        <v>0.82</v>
      </c>
      <c r="F580" s="334">
        <v>0.74</v>
      </c>
      <c r="G580" s="335">
        <v>0.65</v>
      </c>
      <c r="H580" s="334">
        <v>0.55000000000000004</v>
      </c>
      <c r="I580" s="334">
        <v>0.46</v>
      </c>
      <c r="J580" s="334">
        <v>0.38</v>
      </c>
      <c r="K580" s="334">
        <v>0.31</v>
      </c>
      <c r="L580" s="334">
        <v>0.26</v>
      </c>
      <c r="M580" s="334">
        <v>0.24</v>
      </c>
      <c r="O580" s="333">
        <v>80</v>
      </c>
      <c r="P580" s="334">
        <v>1</v>
      </c>
      <c r="Q580" s="334">
        <v>1</v>
      </c>
      <c r="R580" s="335">
        <v>0.98</v>
      </c>
      <c r="S580" s="334">
        <v>0.95</v>
      </c>
      <c r="T580" s="334">
        <v>0.91</v>
      </c>
      <c r="V580" s="333">
        <v>80</v>
      </c>
      <c r="W580" s="334">
        <v>1</v>
      </c>
      <c r="X580" s="334">
        <v>1.01</v>
      </c>
      <c r="Y580" s="335">
        <v>1</v>
      </c>
      <c r="Z580" s="334">
        <v>0.98</v>
      </c>
      <c r="AA580" s="334">
        <v>0.94</v>
      </c>
      <c r="AC580" s="333">
        <v>80</v>
      </c>
      <c r="AD580" s="334">
        <v>1</v>
      </c>
      <c r="AE580" s="334">
        <v>1.01</v>
      </c>
      <c r="AF580" s="335">
        <v>1.01</v>
      </c>
      <c r="AG580" s="334">
        <v>1</v>
      </c>
      <c r="AH580" s="334">
        <v>0.97</v>
      </c>
      <c r="AJ580" s="333">
        <v>80</v>
      </c>
      <c r="AK580" s="334">
        <v>1</v>
      </c>
      <c r="AL580" s="334">
        <v>1.02</v>
      </c>
      <c r="AM580" s="335">
        <v>1.04</v>
      </c>
      <c r="AN580" s="334">
        <v>1.04</v>
      </c>
      <c r="AO580" s="334">
        <v>1.02</v>
      </c>
      <c r="AQ580" s="333">
        <v>80</v>
      </c>
      <c r="AR580" s="334">
        <v>1</v>
      </c>
      <c r="AS580" s="334">
        <v>1.04</v>
      </c>
      <c r="AT580" s="335">
        <v>1.07</v>
      </c>
      <c r="AU580" s="334">
        <v>1.0900000000000001</v>
      </c>
      <c r="AV580" s="334">
        <v>1.08</v>
      </c>
      <c r="AX580" s="333">
        <v>80</v>
      </c>
      <c r="AY580" s="334">
        <v>1</v>
      </c>
      <c r="AZ580" s="334">
        <v>1.06</v>
      </c>
      <c r="BA580" s="335">
        <v>1.08</v>
      </c>
      <c r="BB580" s="334">
        <v>1.1100000000000001</v>
      </c>
      <c r="BC580" s="334">
        <v>1.1100000000000001</v>
      </c>
      <c r="BE580" s="333">
        <v>80</v>
      </c>
      <c r="BF580" s="334">
        <v>1</v>
      </c>
      <c r="BG580" s="334">
        <v>1.04</v>
      </c>
      <c r="BH580" s="335">
        <v>1.07</v>
      </c>
      <c r="BI580" s="334">
        <v>1.1000000000000001</v>
      </c>
      <c r="BJ580" s="334">
        <v>1.1000000000000001</v>
      </c>
      <c r="BL580" s="333">
        <v>80</v>
      </c>
      <c r="BM580" s="334">
        <v>1</v>
      </c>
      <c r="BN580" s="334">
        <v>1.03</v>
      </c>
      <c r="BO580" s="335">
        <v>1.05</v>
      </c>
      <c r="BP580" s="334">
        <v>1.06</v>
      </c>
      <c r="BQ580" s="334">
        <v>1.05</v>
      </c>
      <c r="BS580" s="333">
        <v>80</v>
      </c>
      <c r="BT580" s="334">
        <v>1</v>
      </c>
      <c r="BU580" s="334">
        <v>1.02</v>
      </c>
      <c r="BV580" s="335">
        <v>1.02</v>
      </c>
      <c r="BW580" s="334">
        <v>1.01</v>
      </c>
      <c r="BX580" s="334">
        <v>0.99</v>
      </c>
      <c r="BZ580" s="333">
        <v>80</v>
      </c>
      <c r="CA580" s="334">
        <v>1</v>
      </c>
      <c r="CB580" s="334">
        <v>1.01</v>
      </c>
      <c r="CC580" s="335">
        <v>1</v>
      </c>
      <c r="CD580" s="334">
        <v>0.98</v>
      </c>
      <c r="CE580" s="334">
        <v>0.95</v>
      </c>
      <c r="CG580" s="333">
        <v>80</v>
      </c>
      <c r="CH580" s="334">
        <v>1</v>
      </c>
      <c r="CI580" s="334">
        <v>1</v>
      </c>
      <c r="CJ580" s="335">
        <v>0.99</v>
      </c>
      <c r="CK580" s="334">
        <v>0.96</v>
      </c>
      <c r="CL580" s="334">
        <v>0.93</v>
      </c>
      <c r="CN580" s="333">
        <v>80</v>
      </c>
      <c r="CO580" s="334">
        <v>1</v>
      </c>
      <c r="CP580" s="334">
        <v>1</v>
      </c>
      <c r="CQ580" s="335">
        <v>0.98</v>
      </c>
      <c r="CR580" s="334">
        <v>0.95</v>
      </c>
      <c r="CS580" s="334">
        <v>0.91</v>
      </c>
    </row>
    <row r="581" spans="3:97" x14ac:dyDescent="0.25">
      <c r="C581" s="333">
        <v>190</v>
      </c>
      <c r="D581" s="334">
        <v>0.88</v>
      </c>
      <c r="E581" s="334">
        <v>0.82</v>
      </c>
      <c r="F581" s="334">
        <v>0.75</v>
      </c>
      <c r="G581" s="335">
        <v>0.65</v>
      </c>
      <c r="H581" s="334">
        <v>0.56000000000000005</v>
      </c>
      <c r="I581" s="334">
        <v>0.47</v>
      </c>
      <c r="J581" s="334">
        <v>0.39</v>
      </c>
      <c r="K581" s="334">
        <v>0.32</v>
      </c>
      <c r="L581" s="334">
        <v>0.27</v>
      </c>
      <c r="M581" s="334">
        <v>0.25</v>
      </c>
      <c r="O581" s="333">
        <v>90</v>
      </c>
      <c r="P581" s="334">
        <v>1</v>
      </c>
      <c r="Q581" s="334">
        <v>1</v>
      </c>
      <c r="R581" s="335">
        <v>0.98</v>
      </c>
      <c r="S581" s="334">
        <v>0.95</v>
      </c>
      <c r="T581" s="334">
        <v>0.91</v>
      </c>
      <c r="V581" s="333">
        <v>90</v>
      </c>
      <c r="W581" s="334">
        <v>1</v>
      </c>
      <c r="X581" s="334">
        <v>1</v>
      </c>
      <c r="Y581" s="335">
        <v>0.99</v>
      </c>
      <c r="Z581" s="334">
        <v>0.96</v>
      </c>
      <c r="AA581" s="334">
        <v>0.92</v>
      </c>
      <c r="AC581" s="333">
        <v>90</v>
      </c>
      <c r="AD581" s="334">
        <v>1</v>
      </c>
      <c r="AE581" s="334">
        <v>1</v>
      </c>
      <c r="AF581" s="335">
        <v>0.98</v>
      </c>
      <c r="AG581" s="334">
        <v>0.96</v>
      </c>
      <c r="AH581" s="334">
        <v>0.92</v>
      </c>
      <c r="AJ581" s="333">
        <v>90</v>
      </c>
      <c r="AK581" s="334">
        <v>1</v>
      </c>
      <c r="AL581" s="334">
        <v>1.01</v>
      </c>
      <c r="AM581" s="335">
        <v>0.99</v>
      </c>
      <c r="AN581" s="334">
        <v>0.98</v>
      </c>
      <c r="AO581" s="334">
        <v>0.95</v>
      </c>
      <c r="AQ581" s="333">
        <v>90</v>
      </c>
      <c r="AR581" s="334">
        <v>1</v>
      </c>
      <c r="AS581" s="334">
        <v>1.01</v>
      </c>
      <c r="AT581" s="335">
        <v>1.01</v>
      </c>
      <c r="AU581" s="334">
        <v>1</v>
      </c>
      <c r="AV581" s="334">
        <v>0.98</v>
      </c>
      <c r="AX581" s="333">
        <v>90</v>
      </c>
      <c r="AY581" s="334">
        <v>1</v>
      </c>
      <c r="AZ581" s="334">
        <v>1.02</v>
      </c>
      <c r="BA581" s="335">
        <v>1.02</v>
      </c>
      <c r="BB581" s="334">
        <v>1.02</v>
      </c>
      <c r="BC581" s="334">
        <v>1</v>
      </c>
      <c r="BE581" s="333">
        <v>90</v>
      </c>
      <c r="BF581" s="334">
        <v>1</v>
      </c>
      <c r="BG581" s="334">
        <v>1.01</v>
      </c>
      <c r="BH581" s="335">
        <v>1.01</v>
      </c>
      <c r="BI581" s="334">
        <v>1.01</v>
      </c>
      <c r="BJ581" s="334">
        <v>0.99</v>
      </c>
      <c r="BL581" s="333">
        <v>90</v>
      </c>
      <c r="BM581" s="334">
        <v>1</v>
      </c>
      <c r="BN581" s="334">
        <v>1.01</v>
      </c>
      <c r="BO581" s="335">
        <v>1.01</v>
      </c>
      <c r="BP581" s="334">
        <v>0.99</v>
      </c>
      <c r="BQ581" s="334">
        <v>0.96</v>
      </c>
      <c r="BS581" s="333">
        <v>90</v>
      </c>
      <c r="BT581" s="334">
        <v>1</v>
      </c>
      <c r="BU581" s="334">
        <v>1</v>
      </c>
      <c r="BV581" s="335">
        <v>0.99</v>
      </c>
      <c r="BW581" s="334">
        <v>0.97</v>
      </c>
      <c r="BX581" s="334">
        <v>0.94</v>
      </c>
      <c r="BZ581" s="333">
        <v>90</v>
      </c>
      <c r="CA581" s="334">
        <v>1</v>
      </c>
      <c r="CB581" s="334">
        <v>1</v>
      </c>
      <c r="CC581" s="335">
        <v>0.98</v>
      </c>
      <c r="CD581" s="334">
        <v>0.95</v>
      </c>
      <c r="CE581" s="334">
        <v>0.92</v>
      </c>
      <c r="CG581" s="333">
        <v>90</v>
      </c>
      <c r="CH581" s="334">
        <v>1</v>
      </c>
      <c r="CI581" s="334">
        <v>1</v>
      </c>
      <c r="CJ581" s="335">
        <v>0.99</v>
      </c>
      <c r="CK581" s="334">
        <v>0.96</v>
      </c>
      <c r="CL581" s="334">
        <v>0.92</v>
      </c>
      <c r="CN581" s="333">
        <v>90</v>
      </c>
      <c r="CO581" s="334">
        <v>1</v>
      </c>
      <c r="CP581" s="334">
        <v>1</v>
      </c>
      <c r="CQ581" s="335">
        <v>0.98</v>
      </c>
      <c r="CR581" s="334">
        <v>0.95</v>
      </c>
      <c r="CS581" s="334">
        <v>0.91</v>
      </c>
    </row>
    <row r="582" spans="3:97" x14ac:dyDescent="0.25">
      <c r="C582" s="333">
        <v>200</v>
      </c>
      <c r="D582" s="334">
        <v>0.88</v>
      </c>
      <c r="E582" s="334">
        <v>0.82</v>
      </c>
      <c r="F582" s="334">
        <v>0.75</v>
      </c>
      <c r="G582" s="335">
        <v>0.66</v>
      </c>
      <c r="H582" s="334">
        <v>0.56999999999999995</v>
      </c>
      <c r="I582" s="334">
        <v>0.49</v>
      </c>
      <c r="J582" s="334">
        <v>0.41</v>
      </c>
      <c r="K582" s="334">
        <v>0.34</v>
      </c>
      <c r="L582" s="334">
        <v>0.3</v>
      </c>
      <c r="M582" s="334">
        <v>0.27</v>
      </c>
    </row>
    <row r="583" spans="3:97" x14ac:dyDescent="0.25">
      <c r="C583" s="333">
        <v>210</v>
      </c>
      <c r="D583" s="334">
        <v>0.88</v>
      </c>
      <c r="E583" s="334">
        <v>0.83</v>
      </c>
      <c r="F583" s="334">
        <v>0.76</v>
      </c>
      <c r="G583" s="335">
        <v>0.68</v>
      </c>
      <c r="H583" s="334">
        <v>0.59</v>
      </c>
      <c r="I583" s="334">
        <v>0.51</v>
      </c>
      <c r="J583" s="334">
        <v>0.44</v>
      </c>
      <c r="K583" s="334">
        <v>0.38</v>
      </c>
      <c r="L583" s="334">
        <v>0.34</v>
      </c>
      <c r="M583" s="334">
        <v>0.3</v>
      </c>
    </row>
    <row r="584" spans="3:97" x14ac:dyDescent="0.25">
      <c r="C584" s="333">
        <v>220</v>
      </c>
      <c r="D584" s="334">
        <v>0.88</v>
      </c>
      <c r="E584" s="334">
        <v>0.84</v>
      </c>
      <c r="F584" s="334">
        <v>0.77</v>
      </c>
      <c r="G584" s="335">
        <v>0.7</v>
      </c>
      <c r="H584" s="334">
        <v>0.63</v>
      </c>
      <c r="I584" s="334">
        <v>0.55000000000000004</v>
      </c>
      <c r="J584" s="334">
        <v>0.49</v>
      </c>
      <c r="K584" s="334">
        <v>0.43</v>
      </c>
      <c r="L584" s="334">
        <v>0.38</v>
      </c>
      <c r="M584" s="334">
        <v>0.34</v>
      </c>
    </row>
    <row r="585" spans="3:97" x14ac:dyDescent="0.25">
      <c r="C585" s="333">
        <v>230</v>
      </c>
      <c r="D585" s="334">
        <v>0.88</v>
      </c>
      <c r="E585" s="334">
        <v>0.84</v>
      </c>
      <c r="F585" s="334">
        <v>0.79</v>
      </c>
      <c r="G585" s="335">
        <v>0.73</v>
      </c>
      <c r="H585" s="334">
        <v>0.66</v>
      </c>
      <c r="I585" s="334">
        <v>0.6</v>
      </c>
      <c r="J585" s="334">
        <v>0.53</v>
      </c>
      <c r="K585" s="334">
        <v>0.48</v>
      </c>
      <c r="L585" s="334">
        <v>0.43</v>
      </c>
      <c r="M585" s="334">
        <v>0.38</v>
      </c>
    </row>
    <row r="586" spans="3:97" x14ac:dyDescent="0.25">
      <c r="C586" s="333">
        <v>240</v>
      </c>
      <c r="D586" s="334">
        <v>0.88</v>
      </c>
      <c r="E586" s="334">
        <v>0.85</v>
      </c>
      <c r="F586" s="334">
        <v>0.81</v>
      </c>
      <c r="G586" s="335">
        <v>0.75</v>
      </c>
      <c r="H586" s="334">
        <v>0.7</v>
      </c>
      <c r="I586" s="334">
        <v>0.64</v>
      </c>
      <c r="J586" s="334">
        <v>0.57999999999999996</v>
      </c>
      <c r="K586" s="334">
        <v>0.53</v>
      </c>
      <c r="L586" s="334">
        <v>0.48</v>
      </c>
      <c r="M586" s="334">
        <v>0.43</v>
      </c>
    </row>
    <row r="587" spans="3:97" x14ac:dyDescent="0.25">
      <c r="C587" s="333">
        <v>250</v>
      </c>
      <c r="D587" s="334">
        <v>0.88</v>
      </c>
      <c r="E587" s="334">
        <v>0.86</v>
      </c>
      <c r="F587" s="334">
        <v>0.83</v>
      </c>
      <c r="G587" s="335">
        <v>0.79</v>
      </c>
      <c r="H587" s="334">
        <v>0.74</v>
      </c>
      <c r="I587" s="334">
        <v>0.69</v>
      </c>
      <c r="J587" s="334">
        <v>0.63</v>
      </c>
      <c r="K587" s="334">
        <v>0.57999999999999996</v>
      </c>
      <c r="L587" s="334">
        <v>0.52</v>
      </c>
      <c r="M587" s="334">
        <v>0.47</v>
      </c>
    </row>
    <row r="588" spans="3:97" x14ac:dyDescent="0.25">
      <c r="C588" s="333">
        <v>260</v>
      </c>
      <c r="D588" s="334">
        <v>0.88</v>
      </c>
      <c r="E588" s="334">
        <v>0.88</v>
      </c>
      <c r="F588" s="334">
        <v>0.85</v>
      </c>
      <c r="G588" s="335">
        <v>0.82</v>
      </c>
      <c r="H588" s="334">
        <v>0.78</v>
      </c>
      <c r="I588" s="334">
        <v>0.73</v>
      </c>
      <c r="J588" s="334">
        <v>0.68</v>
      </c>
      <c r="K588" s="334">
        <v>0.63</v>
      </c>
      <c r="L588" s="334">
        <v>0.56000000000000005</v>
      </c>
      <c r="M588" s="334">
        <v>0.5</v>
      </c>
    </row>
    <row r="589" spans="3:97" x14ac:dyDescent="0.25">
      <c r="C589" s="333">
        <v>270</v>
      </c>
      <c r="D589" s="334">
        <v>0.88</v>
      </c>
      <c r="E589" s="334">
        <v>0.88</v>
      </c>
      <c r="F589" s="334">
        <v>0.87</v>
      </c>
      <c r="G589" s="335">
        <v>0.85</v>
      </c>
      <c r="H589" s="334">
        <v>0.81</v>
      </c>
      <c r="I589" s="334">
        <v>0.77</v>
      </c>
      <c r="J589" s="334">
        <v>0.72</v>
      </c>
      <c r="K589" s="334">
        <v>0.67</v>
      </c>
      <c r="L589" s="334">
        <v>0.6</v>
      </c>
      <c r="M589" s="334">
        <v>0.54</v>
      </c>
    </row>
    <row r="590" spans="3:97" x14ac:dyDescent="0.25">
      <c r="C590" s="333">
        <v>280</v>
      </c>
      <c r="D590" s="334">
        <v>0.88</v>
      </c>
      <c r="E590" s="334">
        <v>0.89</v>
      </c>
      <c r="F590" s="334">
        <v>0.89</v>
      </c>
      <c r="G590" s="335">
        <v>0.88</v>
      </c>
      <c r="H590" s="334">
        <v>0.85</v>
      </c>
      <c r="I590" s="334">
        <v>0.81</v>
      </c>
      <c r="J590" s="334">
        <v>0.76</v>
      </c>
      <c r="K590" s="334">
        <v>0.7</v>
      </c>
      <c r="L590" s="334">
        <v>0.64</v>
      </c>
      <c r="M590" s="334">
        <v>0.56999999999999995</v>
      </c>
    </row>
    <row r="591" spans="3:97" x14ac:dyDescent="0.25">
      <c r="C591" s="333">
        <v>290</v>
      </c>
      <c r="D591" s="334">
        <v>0.88</v>
      </c>
      <c r="E591" s="334">
        <v>0.91</v>
      </c>
      <c r="F591" s="334">
        <v>0.91</v>
      </c>
      <c r="G591" s="335">
        <v>0.9</v>
      </c>
      <c r="H591" s="334">
        <v>0.88</v>
      </c>
      <c r="I591" s="334">
        <v>0.84</v>
      </c>
      <c r="J591" s="334">
        <v>0.79</v>
      </c>
      <c r="K591" s="334">
        <v>0.74</v>
      </c>
      <c r="L591" s="334">
        <v>0.67</v>
      </c>
      <c r="M591" s="334">
        <v>0.59</v>
      </c>
    </row>
    <row r="592" spans="3:97" x14ac:dyDescent="0.25">
      <c r="C592" s="333">
        <v>300</v>
      </c>
      <c r="D592" s="334">
        <v>0.88</v>
      </c>
      <c r="E592" s="334">
        <v>0.92</v>
      </c>
      <c r="F592" s="334">
        <v>0.93</v>
      </c>
      <c r="G592" s="335">
        <v>0.93</v>
      </c>
      <c r="H592" s="334">
        <v>0.91</v>
      </c>
      <c r="I592" s="334">
        <v>0.87</v>
      </c>
      <c r="J592" s="334">
        <v>0.82</v>
      </c>
      <c r="K592" s="334">
        <v>0.76</v>
      </c>
      <c r="L592" s="334">
        <v>0.69</v>
      </c>
      <c r="M592" s="334">
        <v>0.61</v>
      </c>
    </row>
    <row r="593" spans="3:97" x14ac:dyDescent="0.25">
      <c r="C593" s="333">
        <v>310</v>
      </c>
      <c r="D593" s="334">
        <v>0.88</v>
      </c>
      <c r="E593" s="334">
        <v>0.92</v>
      </c>
      <c r="F593" s="334">
        <v>0.94</v>
      </c>
      <c r="G593" s="335">
        <v>0.95</v>
      </c>
      <c r="H593" s="334">
        <v>0.93</v>
      </c>
      <c r="I593" s="334">
        <v>0.9</v>
      </c>
      <c r="J593" s="334">
        <v>0.85</v>
      </c>
      <c r="K593" s="334">
        <v>0.78</v>
      </c>
      <c r="L593" s="334">
        <v>0.7</v>
      </c>
      <c r="M593" s="334">
        <v>0.62</v>
      </c>
    </row>
    <row r="594" spans="3:97" ht="15.75" customHeight="1" x14ac:dyDescent="0.25">
      <c r="C594" s="333">
        <v>320</v>
      </c>
      <c r="D594" s="334">
        <v>0.88</v>
      </c>
      <c r="E594" s="334">
        <v>0.93</v>
      </c>
      <c r="F594" s="334">
        <v>0.96</v>
      </c>
      <c r="G594" s="335">
        <v>0.97</v>
      </c>
      <c r="H594" s="334">
        <v>0.95</v>
      </c>
      <c r="I594" s="334">
        <v>0.92</v>
      </c>
      <c r="J594" s="334">
        <v>0.87</v>
      </c>
      <c r="K594" s="334">
        <v>0.8</v>
      </c>
      <c r="L594" s="334">
        <v>0.71</v>
      </c>
      <c r="M594" s="334">
        <v>0.62</v>
      </c>
    </row>
    <row r="595" spans="3:97" ht="15.75" customHeight="1" x14ac:dyDescent="0.25">
      <c r="C595" s="333">
        <v>330</v>
      </c>
      <c r="D595" s="334">
        <v>0.88</v>
      </c>
      <c r="E595" s="334">
        <v>0.94</v>
      </c>
      <c r="F595" s="334">
        <v>0.97</v>
      </c>
      <c r="G595" s="335">
        <v>0.98</v>
      </c>
      <c r="H595" s="334">
        <v>0.97</v>
      </c>
      <c r="I595" s="334">
        <v>0.94</v>
      </c>
      <c r="J595" s="334">
        <v>0.88</v>
      </c>
      <c r="K595" s="334">
        <v>0.81</v>
      </c>
      <c r="L595" s="334">
        <v>0.72</v>
      </c>
      <c r="M595" s="334">
        <v>0.62</v>
      </c>
    </row>
    <row r="596" spans="3:97" x14ac:dyDescent="0.25">
      <c r="C596" s="333">
        <v>340</v>
      </c>
      <c r="D596" s="334">
        <v>0.88</v>
      </c>
      <c r="E596" s="334">
        <v>0.94</v>
      </c>
      <c r="F596" s="334">
        <v>0.98</v>
      </c>
      <c r="G596" s="335">
        <v>0.99</v>
      </c>
      <c r="H596" s="334">
        <v>0.98</v>
      </c>
      <c r="I596" s="334">
        <v>0.94</v>
      </c>
      <c r="J596" s="334">
        <v>0.89</v>
      </c>
      <c r="K596" s="334">
        <v>0.81</v>
      </c>
      <c r="L596" s="334">
        <v>0.72</v>
      </c>
      <c r="M596" s="334">
        <v>0.62</v>
      </c>
    </row>
    <row r="597" spans="3:97" x14ac:dyDescent="0.25">
      <c r="C597" s="333">
        <v>350</v>
      </c>
      <c r="D597" s="334">
        <v>0.88</v>
      </c>
      <c r="E597" s="334">
        <v>0.94</v>
      </c>
      <c r="F597" s="334">
        <v>0.98</v>
      </c>
      <c r="G597" s="334">
        <v>1</v>
      </c>
      <c r="H597" s="334">
        <v>0.99</v>
      </c>
      <c r="I597" s="334">
        <v>0.95</v>
      </c>
      <c r="J597" s="334">
        <v>0.89</v>
      </c>
      <c r="K597" s="334">
        <v>0.81</v>
      </c>
      <c r="L597" s="334">
        <v>0.72</v>
      </c>
      <c r="M597" s="334">
        <v>0.61</v>
      </c>
    </row>
    <row r="598" spans="3:97" x14ac:dyDescent="0.25">
      <c r="F598" s="260"/>
    </row>
    <row r="599" spans="3:97" x14ac:dyDescent="0.25">
      <c r="F599" s="260"/>
      <c r="O599" s="279" t="s">
        <v>478</v>
      </c>
    </row>
    <row r="600" spans="3:97" ht="16.5" customHeight="1" x14ac:dyDescent="0.25">
      <c r="C600" s="415" t="s">
        <v>231</v>
      </c>
      <c r="D600" s="415"/>
      <c r="E600" s="415"/>
      <c r="F600" s="415"/>
      <c r="G600" s="415"/>
      <c r="H600" s="415"/>
      <c r="I600" s="415"/>
      <c r="J600" s="415"/>
      <c r="K600" s="415"/>
      <c r="L600" s="415"/>
      <c r="M600" s="415"/>
      <c r="O600" s="415" t="str">
        <f>O599&amp;" - Janurary"</f>
        <v>CAIRNS  - Janurary</v>
      </c>
      <c r="P600" s="415"/>
      <c r="Q600" s="415"/>
      <c r="R600" s="415"/>
      <c r="S600" s="415"/>
      <c r="T600" s="415"/>
      <c r="V600" s="415" t="str">
        <f>O599&amp;" - February"</f>
        <v>CAIRNS  - February</v>
      </c>
      <c r="W600" s="415"/>
      <c r="X600" s="415"/>
      <c r="Y600" s="415"/>
      <c r="Z600" s="415"/>
      <c r="AA600" s="415"/>
      <c r="AC600" s="415" t="str">
        <f>O599&amp;" - March"</f>
        <v>CAIRNS  - March</v>
      </c>
      <c r="AD600" s="415"/>
      <c r="AE600" s="415"/>
      <c r="AF600" s="415"/>
      <c r="AG600" s="415"/>
      <c r="AH600" s="415"/>
      <c r="AJ600" s="415" t="str">
        <f>O599&amp;" - April"</f>
        <v>CAIRNS  - April</v>
      </c>
      <c r="AK600" s="415"/>
      <c r="AL600" s="415"/>
      <c r="AM600" s="415"/>
      <c r="AN600" s="415"/>
      <c r="AO600" s="415"/>
      <c r="AQ600" s="415" t="str">
        <f>O599&amp;" - May"</f>
        <v>CAIRNS  - May</v>
      </c>
      <c r="AR600" s="415"/>
      <c r="AS600" s="415"/>
      <c r="AT600" s="415"/>
      <c r="AU600" s="415"/>
      <c r="AV600" s="415"/>
      <c r="AX600" s="415" t="str">
        <f>O599&amp;" - June"</f>
        <v>CAIRNS  - June</v>
      </c>
      <c r="AY600" s="415"/>
      <c r="AZ600" s="415"/>
      <c r="BA600" s="415"/>
      <c r="BB600" s="415"/>
      <c r="BC600" s="415"/>
      <c r="BE600" s="415" t="str">
        <f>O599&amp;" - July"</f>
        <v>CAIRNS  - July</v>
      </c>
      <c r="BF600" s="415"/>
      <c r="BG600" s="415"/>
      <c r="BH600" s="415"/>
      <c r="BI600" s="415"/>
      <c r="BJ600" s="415"/>
      <c r="BL600" s="415" t="str">
        <f>O599&amp;" - August"</f>
        <v>CAIRNS  - August</v>
      </c>
      <c r="BM600" s="415"/>
      <c r="BN600" s="415"/>
      <c r="BO600" s="415"/>
      <c r="BP600" s="415"/>
      <c r="BQ600" s="415"/>
      <c r="BS600" s="415" t="str">
        <f>O599&amp;" - September"</f>
        <v>CAIRNS  - September</v>
      </c>
      <c r="BT600" s="415"/>
      <c r="BU600" s="415"/>
      <c r="BV600" s="415"/>
      <c r="BW600" s="415"/>
      <c r="BX600" s="415"/>
      <c r="BZ600" s="415" t="str">
        <f>O599&amp;" - October"</f>
        <v>CAIRNS  - October</v>
      </c>
      <c r="CA600" s="415"/>
      <c r="CB600" s="415"/>
      <c r="CC600" s="415"/>
      <c r="CD600" s="415"/>
      <c r="CE600" s="415"/>
      <c r="CG600" s="415" t="str">
        <f>O599&amp;" - November"</f>
        <v>CAIRNS  - November</v>
      </c>
      <c r="CH600" s="415"/>
      <c r="CI600" s="415"/>
      <c r="CJ600" s="415"/>
      <c r="CK600" s="415"/>
      <c r="CL600" s="415"/>
      <c r="CN600" s="415" t="str">
        <f>O599&amp;" - December"</f>
        <v>CAIRNS  - December</v>
      </c>
      <c r="CO600" s="415"/>
      <c r="CP600" s="415"/>
      <c r="CQ600" s="415"/>
      <c r="CR600" s="415"/>
      <c r="CS600" s="415"/>
    </row>
    <row r="601" spans="3:97" ht="15.75" customHeight="1" x14ac:dyDescent="0.25">
      <c r="C601" s="416" t="s">
        <v>221</v>
      </c>
      <c r="D601" s="416" t="s">
        <v>222</v>
      </c>
      <c r="E601" s="416"/>
      <c r="F601" s="416"/>
      <c r="G601" s="416"/>
      <c r="H601" s="416"/>
      <c r="I601" s="416"/>
      <c r="J601" s="416"/>
      <c r="K601" s="416"/>
      <c r="L601" s="416"/>
      <c r="M601" s="416"/>
      <c r="O601" s="416" t="s">
        <v>221</v>
      </c>
      <c r="P601" s="416" t="s">
        <v>222</v>
      </c>
      <c r="Q601" s="416"/>
      <c r="R601" s="416"/>
      <c r="S601" s="416"/>
      <c r="T601" s="416"/>
      <c r="V601" s="416" t="s">
        <v>221</v>
      </c>
      <c r="W601" s="416" t="s">
        <v>222</v>
      </c>
      <c r="X601" s="416"/>
      <c r="Y601" s="416"/>
      <c r="Z601" s="416"/>
      <c r="AA601" s="416"/>
      <c r="AC601" s="416" t="s">
        <v>221</v>
      </c>
      <c r="AD601" s="416" t="s">
        <v>222</v>
      </c>
      <c r="AE601" s="416"/>
      <c r="AF601" s="416"/>
      <c r="AG601" s="416"/>
      <c r="AH601" s="416"/>
      <c r="AJ601" s="416" t="s">
        <v>221</v>
      </c>
      <c r="AK601" s="416" t="s">
        <v>222</v>
      </c>
      <c r="AL601" s="416"/>
      <c r="AM601" s="416"/>
      <c r="AN601" s="416"/>
      <c r="AO601" s="416"/>
      <c r="AQ601" s="416" t="s">
        <v>221</v>
      </c>
      <c r="AR601" s="416" t="s">
        <v>222</v>
      </c>
      <c r="AS601" s="416"/>
      <c r="AT601" s="416"/>
      <c r="AU601" s="416"/>
      <c r="AV601" s="416"/>
      <c r="AX601" s="416" t="s">
        <v>221</v>
      </c>
      <c r="AY601" s="416" t="s">
        <v>222</v>
      </c>
      <c r="AZ601" s="416"/>
      <c r="BA601" s="416"/>
      <c r="BB601" s="416"/>
      <c r="BC601" s="416"/>
      <c r="BE601" s="416" t="s">
        <v>221</v>
      </c>
      <c r="BF601" s="416" t="s">
        <v>222</v>
      </c>
      <c r="BG601" s="416"/>
      <c r="BH601" s="416"/>
      <c r="BI601" s="416"/>
      <c r="BJ601" s="416"/>
      <c r="BL601" s="416" t="s">
        <v>221</v>
      </c>
      <c r="BM601" s="416" t="s">
        <v>222</v>
      </c>
      <c r="BN601" s="416"/>
      <c r="BO601" s="416"/>
      <c r="BP601" s="416"/>
      <c r="BQ601" s="416"/>
      <c r="BS601" s="416" t="s">
        <v>221</v>
      </c>
      <c r="BT601" s="416" t="s">
        <v>222</v>
      </c>
      <c r="BU601" s="416"/>
      <c r="BV601" s="416"/>
      <c r="BW601" s="416"/>
      <c r="BX601" s="416"/>
      <c r="BZ601" s="416" t="s">
        <v>221</v>
      </c>
      <c r="CA601" s="416" t="s">
        <v>222</v>
      </c>
      <c r="CB601" s="416"/>
      <c r="CC601" s="416"/>
      <c r="CD601" s="416"/>
      <c r="CE601" s="416"/>
      <c r="CG601" s="416" t="s">
        <v>221</v>
      </c>
      <c r="CH601" s="416" t="s">
        <v>222</v>
      </c>
      <c r="CI601" s="416"/>
      <c r="CJ601" s="416"/>
      <c r="CK601" s="416"/>
      <c r="CL601" s="416"/>
      <c r="CN601" s="416" t="s">
        <v>221</v>
      </c>
      <c r="CO601" s="416" t="s">
        <v>222</v>
      </c>
      <c r="CP601" s="416"/>
      <c r="CQ601" s="416"/>
      <c r="CR601" s="416"/>
      <c r="CS601" s="416"/>
    </row>
    <row r="602" spans="3:97" x14ac:dyDescent="0.25">
      <c r="C602" s="416"/>
      <c r="D602" s="333">
        <v>0</v>
      </c>
      <c r="E602" s="333">
        <v>10</v>
      </c>
      <c r="F602" s="333">
        <v>20</v>
      </c>
      <c r="G602" s="333">
        <v>30</v>
      </c>
      <c r="H602" s="333">
        <v>40</v>
      </c>
      <c r="I602" s="333">
        <v>50</v>
      </c>
      <c r="J602" s="333">
        <v>60</v>
      </c>
      <c r="K602" s="333">
        <v>70</v>
      </c>
      <c r="L602" s="333">
        <v>80</v>
      </c>
      <c r="M602" s="333">
        <v>90</v>
      </c>
      <c r="O602" s="416"/>
      <c r="P602" s="333">
        <v>0</v>
      </c>
      <c r="Q602" s="333">
        <v>10</v>
      </c>
      <c r="R602" s="333">
        <v>20</v>
      </c>
      <c r="S602" s="333">
        <v>30</v>
      </c>
      <c r="T602" s="333">
        <v>40</v>
      </c>
      <c r="V602" s="416"/>
      <c r="W602" s="333">
        <v>0</v>
      </c>
      <c r="X602" s="333">
        <v>10</v>
      </c>
      <c r="Y602" s="333">
        <v>20</v>
      </c>
      <c r="Z602" s="333">
        <v>30</v>
      </c>
      <c r="AA602" s="333">
        <v>40</v>
      </c>
      <c r="AC602" s="416"/>
      <c r="AD602" s="333">
        <v>0</v>
      </c>
      <c r="AE602" s="333">
        <v>10</v>
      </c>
      <c r="AF602" s="333">
        <v>20</v>
      </c>
      <c r="AG602" s="333">
        <v>30</v>
      </c>
      <c r="AH602" s="333">
        <v>40</v>
      </c>
      <c r="AJ602" s="416"/>
      <c r="AK602" s="333">
        <v>0</v>
      </c>
      <c r="AL602" s="333">
        <v>10</v>
      </c>
      <c r="AM602" s="333">
        <v>20</v>
      </c>
      <c r="AN602" s="333">
        <v>30</v>
      </c>
      <c r="AO602" s="333">
        <v>40</v>
      </c>
      <c r="AQ602" s="416"/>
      <c r="AR602" s="333">
        <v>0</v>
      </c>
      <c r="AS602" s="333">
        <v>10</v>
      </c>
      <c r="AT602" s="333">
        <v>20</v>
      </c>
      <c r="AU602" s="333">
        <v>30</v>
      </c>
      <c r="AV602" s="333">
        <v>40</v>
      </c>
      <c r="AX602" s="416"/>
      <c r="AY602" s="333">
        <v>0</v>
      </c>
      <c r="AZ602" s="333">
        <v>10</v>
      </c>
      <c r="BA602" s="333">
        <v>20</v>
      </c>
      <c r="BB602" s="333">
        <v>30</v>
      </c>
      <c r="BC602" s="333">
        <v>40</v>
      </c>
      <c r="BE602" s="416"/>
      <c r="BF602" s="333">
        <v>0</v>
      </c>
      <c r="BG602" s="333">
        <v>10</v>
      </c>
      <c r="BH602" s="333">
        <v>20</v>
      </c>
      <c r="BI602" s="333">
        <v>30</v>
      </c>
      <c r="BJ602" s="333">
        <v>40</v>
      </c>
      <c r="BL602" s="416"/>
      <c r="BM602" s="333">
        <v>0</v>
      </c>
      <c r="BN602" s="333">
        <v>10</v>
      </c>
      <c r="BO602" s="333">
        <v>20</v>
      </c>
      <c r="BP602" s="333">
        <v>30</v>
      </c>
      <c r="BQ602" s="333">
        <v>40</v>
      </c>
      <c r="BS602" s="416"/>
      <c r="BT602" s="333">
        <v>0</v>
      </c>
      <c r="BU602" s="333">
        <v>10</v>
      </c>
      <c r="BV602" s="333">
        <v>20</v>
      </c>
      <c r="BW602" s="333">
        <v>30</v>
      </c>
      <c r="BX602" s="333">
        <v>40</v>
      </c>
      <c r="BZ602" s="416"/>
      <c r="CA602" s="333">
        <v>0</v>
      </c>
      <c r="CB602" s="333">
        <v>10</v>
      </c>
      <c r="CC602" s="333">
        <v>20</v>
      </c>
      <c r="CD602" s="333">
        <v>30</v>
      </c>
      <c r="CE602" s="333">
        <v>40</v>
      </c>
      <c r="CG602" s="416"/>
      <c r="CH602" s="333">
        <v>0</v>
      </c>
      <c r="CI602" s="333">
        <v>10</v>
      </c>
      <c r="CJ602" s="333">
        <v>20</v>
      </c>
      <c r="CK602" s="333">
        <v>30</v>
      </c>
      <c r="CL602" s="333">
        <v>40</v>
      </c>
      <c r="CN602" s="416"/>
      <c r="CO602" s="333">
        <v>0</v>
      </c>
      <c r="CP602" s="333">
        <v>10</v>
      </c>
      <c r="CQ602" s="333">
        <v>20</v>
      </c>
      <c r="CR602" s="333">
        <v>30</v>
      </c>
      <c r="CS602" s="333">
        <v>40</v>
      </c>
    </row>
    <row r="603" spans="3:97" x14ac:dyDescent="0.25">
      <c r="C603" s="333">
        <v>0</v>
      </c>
      <c r="D603" s="334">
        <v>0.95</v>
      </c>
      <c r="E603" s="334">
        <v>0.99</v>
      </c>
      <c r="F603" s="335">
        <v>1</v>
      </c>
      <c r="G603" s="334">
        <v>0.99</v>
      </c>
      <c r="H603" s="334">
        <v>0.96</v>
      </c>
      <c r="I603" s="334">
        <v>0.9</v>
      </c>
      <c r="J603" s="334">
        <v>0.82</v>
      </c>
      <c r="K603" s="334">
        <v>0.73</v>
      </c>
      <c r="L603" s="334">
        <v>0.62</v>
      </c>
      <c r="M603" s="334">
        <v>0.52</v>
      </c>
      <c r="O603" s="333">
        <v>270</v>
      </c>
      <c r="P603" s="334">
        <v>1</v>
      </c>
      <c r="Q603" s="334">
        <v>1</v>
      </c>
      <c r="R603" s="334">
        <v>0.98</v>
      </c>
      <c r="S603" s="334">
        <v>0.95</v>
      </c>
      <c r="T603" s="334">
        <v>0.9</v>
      </c>
      <c r="V603" s="333">
        <v>270</v>
      </c>
      <c r="W603" s="334">
        <v>1</v>
      </c>
      <c r="X603" s="334">
        <v>1</v>
      </c>
      <c r="Y603" s="334">
        <v>0.98</v>
      </c>
      <c r="Z603" s="334">
        <v>0.95</v>
      </c>
      <c r="AA603" s="334">
        <v>0.91</v>
      </c>
      <c r="AC603" s="333">
        <v>270</v>
      </c>
      <c r="AD603" s="334">
        <v>1</v>
      </c>
      <c r="AE603" s="334">
        <v>1</v>
      </c>
      <c r="AF603" s="334">
        <v>0.99</v>
      </c>
      <c r="AG603" s="334">
        <v>0.97</v>
      </c>
      <c r="AH603" s="334">
        <v>0.93</v>
      </c>
      <c r="AJ603" s="333">
        <v>270</v>
      </c>
      <c r="AK603" s="334">
        <v>1</v>
      </c>
      <c r="AL603" s="334">
        <v>1.01</v>
      </c>
      <c r="AM603" s="334">
        <v>1.01</v>
      </c>
      <c r="AN603" s="334">
        <v>0.98</v>
      </c>
      <c r="AO603" s="334">
        <v>0.95</v>
      </c>
      <c r="AQ603" s="333">
        <v>270</v>
      </c>
      <c r="AR603" s="334">
        <v>1</v>
      </c>
      <c r="AS603" s="334">
        <v>1.01</v>
      </c>
      <c r="AT603" s="334">
        <v>1</v>
      </c>
      <c r="AU603" s="334">
        <v>0.98</v>
      </c>
      <c r="AV603" s="334">
        <v>0.94</v>
      </c>
      <c r="AX603" s="333">
        <v>270</v>
      </c>
      <c r="AY603" s="334">
        <v>1</v>
      </c>
      <c r="AZ603" s="334">
        <v>1.01</v>
      </c>
      <c r="BA603" s="334">
        <v>1</v>
      </c>
      <c r="BB603" s="334">
        <v>0.98</v>
      </c>
      <c r="BC603" s="334">
        <v>0.96</v>
      </c>
      <c r="BE603" s="333">
        <v>270</v>
      </c>
      <c r="BF603" s="334">
        <v>1</v>
      </c>
      <c r="BG603" s="334">
        <v>1.01</v>
      </c>
      <c r="BH603" s="334">
        <v>1</v>
      </c>
      <c r="BI603" s="334">
        <v>0.98</v>
      </c>
      <c r="BJ603" s="334">
        <v>0.95</v>
      </c>
      <c r="BL603" s="333">
        <v>270</v>
      </c>
      <c r="BM603" s="334">
        <v>1</v>
      </c>
      <c r="BN603" s="334">
        <v>1.01</v>
      </c>
      <c r="BO603" s="334">
        <v>1</v>
      </c>
      <c r="BP603" s="334">
        <v>0.98</v>
      </c>
      <c r="BQ603" s="334">
        <v>0.94</v>
      </c>
      <c r="BS603" s="333">
        <v>270</v>
      </c>
      <c r="BT603" s="334">
        <v>1</v>
      </c>
      <c r="BU603" s="334">
        <v>1</v>
      </c>
      <c r="BV603" s="334">
        <v>1</v>
      </c>
      <c r="BW603" s="334">
        <v>0.97</v>
      </c>
      <c r="BX603" s="334">
        <v>0.93</v>
      </c>
      <c r="BZ603" s="333">
        <v>270</v>
      </c>
      <c r="CA603" s="334">
        <v>1</v>
      </c>
      <c r="CB603" s="334">
        <v>1.01</v>
      </c>
      <c r="CC603" s="334">
        <v>1</v>
      </c>
      <c r="CD603" s="334">
        <v>0.97</v>
      </c>
      <c r="CE603" s="334">
        <v>0.93</v>
      </c>
      <c r="CG603" s="333">
        <v>270</v>
      </c>
      <c r="CH603" s="334">
        <v>1</v>
      </c>
      <c r="CI603" s="334">
        <v>1.01</v>
      </c>
      <c r="CJ603" s="334">
        <v>0.99</v>
      </c>
      <c r="CK603" s="334">
        <v>0.96</v>
      </c>
      <c r="CL603" s="334">
        <v>0.92</v>
      </c>
      <c r="CN603" s="333">
        <v>270</v>
      </c>
      <c r="CO603" s="334">
        <v>1</v>
      </c>
      <c r="CP603" s="334">
        <v>1</v>
      </c>
      <c r="CQ603" s="334">
        <v>0.99</v>
      </c>
      <c r="CR603" s="334">
        <v>0.96</v>
      </c>
      <c r="CS603" s="334">
        <v>0.91</v>
      </c>
    </row>
    <row r="604" spans="3:97" x14ac:dyDescent="0.25">
      <c r="C604" s="333">
        <v>10</v>
      </c>
      <c r="D604" s="334">
        <v>0.95</v>
      </c>
      <c r="E604" s="334">
        <v>0.99</v>
      </c>
      <c r="F604" s="335">
        <v>1</v>
      </c>
      <c r="G604" s="334">
        <v>0.99</v>
      </c>
      <c r="H604" s="334">
        <v>0.95</v>
      </c>
      <c r="I604" s="334">
        <v>0.9</v>
      </c>
      <c r="J604" s="334">
        <v>0.82</v>
      </c>
      <c r="K604" s="334">
        <v>0.73</v>
      </c>
      <c r="L604" s="334">
        <v>0.62</v>
      </c>
      <c r="M604" s="334">
        <v>0.52</v>
      </c>
      <c r="O604" s="333">
        <v>280</v>
      </c>
      <c r="P604" s="334">
        <v>1</v>
      </c>
      <c r="Q604" s="334">
        <v>1</v>
      </c>
      <c r="R604" s="334">
        <v>0.97</v>
      </c>
      <c r="S604" s="334">
        <v>0.94</v>
      </c>
      <c r="T604" s="334">
        <v>0.89</v>
      </c>
      <c r="V604" s="333">
        <v>280</v>
      </c>
      <c r="W604" s="334">
        <v>1</v>
      </c>
      <c r="X604" s="334">
        <v>1</v>
      </c>
      <c r="Y604" s="334">
        <v>0.98</v>
      </c>
      <c r="Z604" s="334">
        <v>0.95</v>
      </c>
      <c r="AA604" s="334">
        <v>0.91</v>
      </c>
      <c r="AC604" s="333">
        <v>280</v>
      </c>
      <c r="AD604" s="334">
        <v>1</v>
      </c>
      <c r="AE604" s="334">
        <v>1.01</v>
      </c>
      <c r="AF604" s="334">
        <v>1</v>
      </c>
      <c r="AG604" s="334">
        <v>0.98</v>
      </c>
      <c r="AH604" s="334">
        <v>0.94</v>
      </c>
      <c r="AJ604" s="333">
        <v>280</v>
      </c>
      <c r="AK604" s="334">
        <v>1</v>
      </c>
      <c r="AL604" s="334">
        <v>1.02</v>
      </c>
      <c r="AM604" s="334">
        <v>1.03</v>
      </c>
      <c r="AN604" s="334">
        <v>1.02</v>
      </c>
      <c r="AO604" s="334">
        <v>0.98</v>
      </c>
      <c r="AQ604" s="333">
        <v>280</v>
      </c>
      <c r="AR604" s="334">
        <v>1</v>
      </c>
      <c r="AS604" s="334">
        <v>1.03</v>
      </c>
      <c r="AT604" s="334">
        <v>1.04</v>
      </c>
      <c r="AU604" s="334">
        <v>1.03</v>
      </c>
      <c r="AV604" s="334">
        <v>1.01</v>
      </c>
      <c r="AX604" s="333">
        <v>280</v>
      </c>
      <c r="AY604" s="334">
        <v>1</v>
      </c>
      <c r="AZ604" s="334">
        <v>1.03</v>
      </c>
      <c r="BA604" s="334">
        <v>1.04</v>
      </c>
      <c r="BB604" s="334">
        <v>1.04</v>
      </c>
      <c r="BC604" s="334">
        <v>1.03</v>
      </c>
      <c r="BE604" s="333">
        <v>280</v>
      </c>
      <c r="BF604" s="334">
        <v>1</v>
      </c>
      <c r="BG604" s="334">
        <v>1.03</v>
      </c>
      <c r="BH604" s="334">
        <v>1.04</v>
      </c>
      <c r="BI604" s="334">
        <v>1.04</v>
      </c>
      <c r="BJ604" s="334">
        <v>1.02</v>
      </c>
      <c r="BL604" s="333">
        <v>280</v>
      </c>
      <c r="BM604" s="334">
        <v>1</v>
      </c>
      <c r="BN604" s="334">
        <v>1.02</v>
      </c>
      <c r="BO604" s="334">
        <v>1.03</v>
      </c>
      <c r="BP604" s="334">
        <v>1.02</v>
      </c>
      <c r="BQ604" s="334">
        <v>0.99</v>
      </c>
      <c r="BS604" s="333">
        <v>280</v>
      </c>
      <c r="BT604" s="334">
        <v>1</v>
      </c>
      <c r="BU604" s="334">
        <v>1.01</v>
      </c>
      <c r="BV604" s="334">
        <v>1.01</v>
      </c>
      <c r="BW604" s="334">
        <v>1</v>
      </c>
      <c r="BX604" s="334">
        <v>0.96</v>
      </c>
      <c r="BZ604" s="333">
        <v>280</v>
      </c>
      <c r="CA604" s="334">
        <v>1</v>
      </c>
      <c r="CB604" s="334">
        <v>1.01</v>
      </c>
      <c r="CC604" s="334">
        <v>1</v>
      </c>
      <c r="CD604" s="334">
        <v>0.97</v>
      </c>
      <c r="CE604" s="334">
        <v>0.94</v>
      </c>
      <c r="CG604" s="333">
        <v>280</v>
      </c>
      <c r="CH604" s="334">
        <v>1</v>
      </c>
      <c r="CI604" s="334">
        <v>1</v>
      </c>
      <c r="CJ604" s="334">
        <v>0.99</v>
      </c>
      <c r="CK604" s="334">
        <v>0.96</v>
      </c>
      <c r="CL604" s="334">
        <v>0.91</v>
      </c>
      <c r="CN604" s="333">
        <v>280</v>
      </c>
      <c r="CO604" s="334">
        <v>1</v>
      </c>
      <c r="CP604" s="334">
        <v>1</v>
      </c>
      <c r="CQ604" s="334">
        <v>0.98</v>
      </c>
      <c r="CR604" s="334">
        <v>0.94</v>
      </c>
      <c r="CS604" s="334">
        <v>0.89</v>
      </c>
    </row>
    <row r="605" spans="3:97" x14ac:dyDescent="0.25">
      <c r="C605" s="333">
        <v>20</v>
      </c>
      <c r="D605" s="334">
        <v>0.95</v>
      </c>
      <c r="E605" s="334">
        <v>0.98</v>
      </c>
      <c r="F605" s="335">
        <v>1</v>
      </c>
      <c r="G605" s="334">
        <v>0.98</v>
      </c>
      <c r="H605" s="334">
        <v>0.95</v>
      </c>
      <c r="I605" s="334">
        <v>0.9</v>
      </c>
      <c r="J605" s="334">
        <v>0.82</v>
      </c>
      <c r="K605" s="334">
        <v>0.73</v>
      </c>
      <c r="L605" s="334">
        <v>0.63</v>
      </c>
      <c r="M605" s="334">
        <v>0.53</v>
      </c>
      <c r="O605" s="333">
        <v>290</v>
      </c>
      <c r="P605" s="334">
        <v>1</v>
      </c>
      <c r="Q605" s="334">
        <v>0.99</v>
      </c>
      <c r="R605" s="334">
        <v>0.97</v>
      </c>
      <c r="S605" s="334">
        <v>0.93</v>
      </c>
      <c r="T605" s="334">
        <v>0.87</v>
      </c>
      <c r="V605" s="333">
        <v>290</v>
      </c>
      <c r="W605" s="334">
        <v>1</v>
      </c>
      <c r="X605" s="334">
        <v>1</v>
      </c>
      <c r="Y605" s="334">
        <v>0.98</v>
      </c>
      <c r="Z605" s="334">
        <v>0.95</v>
      </c>
      <c r="AA605" s="334">
        <v>0.9</v>
      </c>
      <c r="AC605" s="333">
        <v>290</v>
      </c>
      <c r="AD605" s="334">
        <v>1</v>
      </c>
      <c r="AE605" s="334">
        <v>1.01</v>
      </c>
      <c r="AF605" s="334">
        <v>1.01</v>
      </c>
      <c r="AG605" s="334">
        <v>1</v>
      </c>
      <c r="AH605" s="334">
        <v>0.96</v>
      </c>
      <c r="AJ605" s="333">
        <v>290</v>
      </c>
      <c r="AK605" s="334">
        <v>1</v>
      </c>
      <c r="AL605" s="334">
        <v>1.03</v>
      </c>
      <c r="AM605" s="334">
        <v>1.05</v>
      </c>
      <c r="AN605" s="334">
        <v>1.04</v>
      </c>
      <c r="AO605" s="334">
        <v>1.03</v>
      </c>
      <c r="AQ605" s="333">
        <v>290</v>
      </c>
      <c r="AR605" s="334">
        <v>1</v>
      </c>
      <c r="AS605" s="334">
        <v>1.04</v>
      </c>
      <c r="AT605" s="334">
        <v>1.07</v>
      </c>
      <c r="AU605" s="334">
        <v>1.08</v>
      </c>
      <c r="AV605" s="334">
        <v>1.07</v>
      </c>
      <c r="AX605" s="333">
        <v>290</v>
      </c>
      <c r="AY605" s="334">
        <v>1</v>
      </c>
      <c r="AZ605" s="334">
        <v>1.06</v>
      </c>
      <c r="BA605" s="334">
        <v>1.0900000000000001</v>
      </c>
      <c r="BB605" s="334">
        <v>1.1000000000000001</v>
      </c>
      <c r="BC605" s="334">
        <v>1.0900000000000001</v>
      </c>
      <c r="BE605" s="333">
        <v>290</v>
      </c>
      <c r="BF605" s="334">
        <v>1</v>
      </c>
      <c r="BG605" s="334">
        <v>1.05</v>
      </c>
      <c r="BH605" s="334">
        <v>1.08</v>
      </c>
      <c r="BI605" s="334">
        <v>1.1000000000000001</v>
      </c>
      <c r="BJ605" s="334">
        <v>1.0900000000000001</v>
      </c>
      <c r="BL605" s="333">
        <v>290</v>
      </c>
      <c r="BM605" s="334">
        <v>1</v>
      </c>
      <c r="BN605" s="334">
        <v>1.04</v>
      </c>
      <c r="BO605" s="334">
        <v>1.06</v>
      </c>
      <c r="BP605" s="334">
        <v>1.06</v>
      </c>
      <c r="BQ605" s="334">
        <v>1.04</v>
      </c>
      <c r="BS605" s="333">
        <v>290</v>
      </c>
      <c r="BT605" s="334">
        <v>1</v>
      </c>
      <c r="BU605" s="334">
        <v>1.02</v>
      </c>
      <c r="BV605" s="334">
        <v>1.03</v>
      </c>
      <c r="BW605" s="334">
        <v>1.01</v>
      </c>
      <c r="BX605" s="334">
        <v>0.99</v>
      </c>
      <c r="BZ605" s="333">
        <v>290</v>
      </c>
      <c r="CA605" s="334">
        <v>1</v>
      </c>
      <c r="CB605" s="334">
        <v>1.01</v>
      </c>
      <c r="CC605" s="334">
        <v>1</v>
      </c>
      <c r="CD605" s="334">
        <v>0.98</v>
      </c>
      <c r="CE605" s="334">
        <v>0.94</v>
      </c>
      <c r="CG605" s="333">
        <v>290</v>
      </c>
      <c r="CH605" s="334">
        <v>1</v>
      </c>
      <c r="CI605" s="334">
        <v>1</v>
      </c>
      <c r="CJ605" s="334">
        <v>0.98</v>
      </c>
      <c r="CK605" s="334">
        <v>0.94</v>
      </c>
      <c r="CL605" s="334">
        <v>0.9</v>
      </c>
      <c r="CN605" s="333">
        <v>290</v>
      </c>
      <c r="CO605" s="334">
        <v>1</v>
      </c>
      <c r="CP605" s="334">
        <v>0.99</v>
      </c>
      <c r="CQ605" s="334">
        <v>0.96</v>
      </c>
      <c r="CR605" s="334">
        <v>0.92</v>
      </c>
      <c r="CS605" s="334">
        <v>0.87</v>
      </c>
    </row>
    <row r="606" spans="3:97" x14ac:dyDescent="0.25">
      <c r="C606" s="333">
        <v>30</v>
      </c>
      <c r="D606" s="334">
        <v>0.95</v>
      </c>
      <c r="E606" s="334">
        <v>0.98</v>
      </c>
      <c r="F606" s="335">
        <v>0.99</v>
      </c>
      <c r="G606" s="334">
        <v>0.98</v>
      </c>
      <c r="H606" s="334">
        <v>0.94</v>
      </c>
      <c r="I606" s="334">
        <v>0.89</v>
      </c>
      <c r="J606" s="334">
        <v>0.82</v>
      </c>
      <c r="K606" s="334">
        <v>0.73</v>
      </c>
      <c r="L606" s="334">
        <v>0.64</v>
      </c>
      <c r="M606" s="334">
        <v>0.54</v>
      </c>
      <c r="O606" s="333">
        <v>300</v>
      </c>
      <c r="P606" s="334">
        <v>1</v>
      </c>
      <c r="Q606" s="334">
        <v>0.99</v>
      </c>
      <c r="R606" s="335">
        <v>0.96</v>
      </c>
      <c r="S606" s="334">
        <v>0.91</v>
      </c>
      <c r="T606" s="334">
        <v>0.86</v>
      </c>
      <c r="V606" s="333">
        <v>300</v>
      </c>
      <c r="W606" s="334">
        <v>1</v>
      </c>
      <c r="X606" s="334">
        <v>1</v>
      </c>
      <c r="Y606" s="335">
        <v>0.98</v>
      </c>
      <c r="Z606" s="334">
        <v>0.94</v>
      </c>
      <c r="AA606" s="334">
        <v>0.9</v>
      </c>
      <c r="AC606" s="333">
        <v>300</v>
      </c>
      <c r="AD606" s="334">
        <v>1</v>
      </c>
      <c r="AE606" s="334">
        <v>1.02</v>
      </c>
      <c r="AF606" s="335">
        <v>1.02</v>
      </c>
      <c r="AG606" s="334">
        <v>1</v>
      </c>
      <c r="AH606" s="334">
        <v>0.97</v>
      </c>
      <c r="AJ606" s="333">
        <v>300</v>
      </c>
      <c r="AK606" s="334">
        <v>1</v>
      </c>
      <c r="AL606" s="334">
        <v>1.04</v>
      </c>
      <c r="AM606" s="335">
        <v>1.07</v>
      </c>
      <c r="AN606" s="334">
        <v>1.07</v>
      </c>
      <c r="AO606" s="334">
        <v>1.05</v>
      </c>
      <c r="AQ606" s="333">
        <v>300</v>
      </c>
      <c r="AR606" s="334">
        <v>1</v>
      </c>
      <c r="AS606" s="334">
        <v>1.07</v>
      </c>
      <c r="AT606" s="335">
        <v>1.1100000000000001</v>
      </c>
      <c r="AU606" s="334">
        <v>1.1200000000000001</v>
      </c>
      <c r="AV606" s="334">
        <v>1.1200000000000001</v>
      </c>
      <c r="AX606" s="333">
        <v>300</v>
      </c>
      <c r="AY606" s="334">
        <v>1</v>
      </c>
      <c r="AZ606" s="334">
        <v>1.08</v>
      </c>
      <c r="BA606" s="335">
        <v>1.1299999999999999</v>
      </c>
      <c r="BB606" s="334">
        <v>1.1499999999999999</v>
      </c>
      <c r="BC606" s="334">
        <v>1.1599999999999999</v>
      </c>
      <c r="BE606" s="333">
        <v>300</v>
      </c>
      <c r="BF606" s="334">
        <v>1</v>
      </c>
      <c r="BG606" s="334">
        <v>1.08</v>
      </c>
      <c r="BH606" s="335">
        <v>1.1200000000000001</v>
      </c>
      <c r="BI606" s="334">
        <v>1.1499999999999999</v>
      </c>
      <c r="BJ606" s="334">
        <v>1.1499999999999999</v>
      </c>
      <c r="BL606" s="333">
        <v>300</v>
      </c>
      <c r="BM606" s="334">
        <v>1</v>
      </c>
      <c r="BN606" s="334">
        <v>1.06</v>
      </c>
      <c r="BO606" s="335">
        <v>1.0900000000000001</v>
      </c>
      <c r="BP606" s="334">
        <v>1.1000000000000001</v>
      </c>
      <c r="BQ606" s="334">
        <v>1.0900000000000001</v>
      </c>
      <c r="BS606" s="333">
        <v>300</v>
      </c>
      <c r="BT606" s="334">
        <v>1</v>
      </c>
      <c r="BU606" s="334">
        <v>1.03</v>
      </c>
      <c r="BV606" s="335">
        <v>1.04</v>
      </c>
      <c r="BW606" s="334">
        <v>1.03</v>
      </c>
      <c r="BX606" s="334">
        <v>1.01</v>
      </c>
      <c r="BZ606" s="333">
        <v>300</v>
      </c>
      <c r="CA606" s="334">
        <v>1</v>
      </c>
      <c r="CB606" s="334">
        <v>1.01</v>
      </c>
      <c r="CC606" s="335">
        <v>1</v>
      </c>
      <c r="CD606" s="334">
        <v>0.98</v>
      </c>
      <c r="CE606" s="334">
        <v>0.94</v>
      </c>
      <c r="CG606" s="333">
        <v>300</v>
      </c>
      <c r="CH606" s="334">
        <v>1</v>
      </c>
      <c r="CI606" s="334">
        <v>1</v>
      </c>
      <c r="CJ606" s="335">
        <v>0.97</v>
      </c>
      <c r="CK606" s="334">
        <v>0.93</v>
      </c>
      <c r="CL606" s="334">
        <v>0.88</v>
      </c>
      <c r="CN606" s="333">
        <v>300</v>
      </c>
      <c r="CO606" s="334">
        <v>1</v>
      </c>
      <c r="CP606" s="334">
        <v>0.98</v>
      </c>
      <c r="CQ606" s="335">
        <v>0.95</v>
      </c>
      <c r="CR606" s="334">
        <v>0.9</v>
      </c>
      <c r="CS606" s="334">
        <v>0.85</v>
      </c>
    </row>
    <row r="607" spans="3:97" x14ac:dyDescent="0.25">
      <c r="C607" s="333">
        <v>40</v>
      </c>
      <c r="D607" s="334">
        <v>0.95</v>
      </c>
      <c r="E607" s="334">
        <v>0.98</v>
      </c>
      <c r="F607" s="335">
        <v>0.99</v>
      </c>
      <c r="G607" s="334">
        <v>0.97</v>
      </c>
      <c r="H607" s="334">
        <v>0.94</v>
      </c>
      <c r="I607" s="334">
        <v>0.88</v>
      </c>
      <c r="J607" s="334">
        <v>0.81</v>
      </c>
      <c r="K607" s="334">
        <v>0.73</v>
      </c>
      <c r="L607" s="334">
        <v>0.64</v>
      </c>
      <c r="M607" s="334">
        <v>0.55000000000000004</v>
      </c>
      <c r="O607" s="333">
        <v>310</v>
      </c>
      <c r="P607" s="334">
        <v>1</v>
      </c>
      <c r="Q607" s="334">
        <v>0.98</v>
      </c>
      <c r="R607" s="335">
        <v>0.95</v>
      </c>
      <c r="S607" s="334">
        <v>0.9</v>
      </c>
      <c r="T607" s="334">
        <v>0.83</v>
      </c>
      <c r="V607" s="333">
        <v>310</v>
      </c>
      <c r="W607" s="334">
        <v>1</v>
      </c>
      <c r="X607" s="334">
        <v>1</v>
      </c>
      <c r="Y607" s="335">
        <v>0.98</v>
      </c>
      <c r="Z607" s="334">
        <v>0.94</v>
      </c>
      <c r="AA607" s="334">
        <v>0.89</v>
      </c>
      <c r="AC607" s="333">
        <v>310</v>
      </c>
      <c r="AD607" s="334">
        <v>1</v>
      </c>
      <c r="AE607" s="334">
        <v>1.02</v>
      </c>
      <c r="AF607" s="335">
        <v>1.03</v>
      </c>
      <c r="AG607" s="334">
        <v>1.01</v>
      </c>
      <c r="AH607" s="334">
        <v>0.98</v>
      </c>
      <c r="AJ607" s="333">
        <v>310</v>
      </c>
      <c r="AK607" s="334">
        <v>1</v>
      </c>
      <c r="AL607" s="334">
        <v>1.05</v>
      </c>
      <c r="AM607" s="335">
        <v>1.0900000000000001</v>
      </c>
      <c r="AN607" s="334">
        <v>1.1000000000000001</v>
      </c>
      <c r="AO607" s="334">
        <v>1.08</v>
      </c>
      <c r="AQ607" s="333">
        <v>310</v>
      </c>
      <c r="AR607" s="334">
        <v>1</v>
      </c>
      <c r="AS607" s="334">
        <v>1.08</v>
      </c>
      <c r="AT607" s="335">
        <v>1.1399999999999999</v>
      </c>
      <c r="AU607" s="334">
        <v>1.17</v>
      </c>
      <c r="AV607" s="334">
        <v>1.17</v>
      </c>
      <c r="AX607" s="333">
        <v>310</v>
      </c>
      <c r="AY607" s="334">
        <v>1</v>
      </c>
      <c r="AZ607" s="334">
        <v>1.0900000000000001</v>
      </c>
      <c r="BA607" s="335">
        <v>1.1599999999999999</v>
      </c>
      <c r="BB607" s="334">
        <v>1.2</v>
      </c>
      <c r="BC607" s="334">
        <v>1.21</v>
      </c>
      <c r="BE607" s="333">
        <v>310</v>
      </c>
      <c r="BF607" s="334">
        <v>1</v>
      </c>
      <c r="BG607" s="334">
        <v>1.0900000000000001</v>
      </c>
      <c r="BH607" s="335">
        <v>1.1599999999999999</v>
      </c>
      <c r="BI607" s="334">
        <v>1.2</v>
      </c>
      <c r="BJ607" s="334">
        <v>1.2</v>
      </c>
      <c r="BL607" s="333">
        <v>310</v>
      </c>
      <c r="BM607" s="334">
        <v>1</v>
      </c>
      <c r="BN607" s="334">
        <v>1.07</v>
      </c>
      <c r="BO607" s="335">
        <v>1.1100000000000001</v>
      </c>
      <c r="BP607" s="334">
        <v>1.1299999999999999</v>
      </c>
      <c r="BQ607" s="334">
        <v>1.1299999999999999</v>
      </c>
      <c r="BS607" s="333">
        <v>310</v>
      </c>
      <c r="BT607" s="334">
        <v>1</v>
      </c>
      <c r="BU607" s="334">
        <v>1.04</v>
      </c>
      <c r="BV607" s="335">
        <v>1.06</v>
      </c>
      <c r="BW607" s="334">
        <v>1.05</v>
      </c>
      <c r="BX607" s="334">
        <v>1.03</v>
      </c>
      <c r="BZ607" s="333">
        <v>310</v>
      </c>
      <c r="CA607" s="334">
        <v>1</v>
      </c>
      <c r="CB607" s="334">
        <v>1.01</v>
      </c>
      <c r="CC607" s="335">
        <v>1</v>
      </c>
      <c r="CD607" s="334">
        <v>0.98</v>
      </c>
      <c r="CE607" s="334">
        <v>0.93</v>
      </c>
      <c r="CG607" s="333">
        <v>310</v>
      </c>
      <c r="CH607" s="334">
        <v>1</v>
      </c>
      <c r="CI607" s="334">
        <v>0.99</v>
      </c>
      <c r="CJ607" s="335">
        <v>0.96</v>
      </c>
      <c r="CK607" s="334">
        <v>0.92</v>
      </c>
      <c r="CL607" s="334">
        <v>0.86</v>
      </c>
      <c r="CN607" s="333">
        <v>310</v>
      </c>
      <c r="CO607" s="334">
        <v>1</v>
      </c>
      <c r="CP607" s="334">
        <v>0.98</v>
      </c>
      <c r="CQ607" s="335">
        <v>0.94</v>
      </c>
      <c r="CR607" s="334">
        <v>0.89</v>
      </c>
      <c r="CS607" s="334">
        <v>0.82</v>
      </c>
    </row>
    <row r="608" spans="3:97" x14ac:dyDescent="0.25">
      <c r="C608" s="333">
        <v>50</v>
      </c>
      <c r="D608" s="334">
        <v>0.95</v>
      </c>
      <c r="E608" s="334">
        <v>0.97</v>
      </c>
      <c r="F608" s="335">
        <v>0.98</v>
      </c>
      <c r="G608" s="334">
        <v>0.96</v>
      </c>
      <c r="H608" s="334">
        <v>0.93</v>
      </c>
      <c r="I608" s="334">
        <v>0.87</v>
      </c>
      <c r="J608" s="334">
        <v>0.8</v>
      </c>
      <c r="K608" s="334">
        <v>0.73</v>
      </c>
      <c r="L608" s="334">
        <v>0.64</v>
      </c>
      <c r="M608" s="334">
        <v>0.56000000000000005</v>
      </c>
      <c r="O608" s="333">
        <v>320</v>
      </c>
      <c r="P608" s="334">
        <v>1</v>
      </c>
      <c r="Q608" s="334">
        <v>0.98</v>
      </c>
      <c r="R608" s="335">
        <v>0.94</v>
      </c>
      <c r="S608" s="334">
        <v>0.89</v>
      </c>
      <c r="T608" s="334">
        <v>0.82</v>
      </c>
      <c r="V608" s="333">
        <v>320</v>
      </c>
      <c r="W608" s="334">
        <v>1</v>
      </c>
      <c r="X608" s="334">
        <v>1</v>
      </c>
      <c r="Y608" s="335">
        <v>0.98</v>
      </c>
      <c r="Z608" s="334">
        <v>0.93</v>
      </c>
      <c r="AA608" s="334">
        <v>0.88</v>
      </c>
      <c r="AC608" s="333">
        <v>320</v>
      </c>
      <c r="AD608" s="334">
        <v>1</v>
      </c>
      <c r="AE608" s="334">
        <v>1.03</v>
      </c>
      <c r="AF608" s="335">
        <v>1.04</v>
      </c>
      <c r="AG608" s="334">
        <v>1.02</v>
      </c>
      <c r="AH608" s="334">
        <v>0.99</v>
      </c>
      <c r="AJ608" s="333">
        <v>320</v>
      </c>
      <c r="AK608" s="334">
        <v>1</v>
      </c>
      <c r="AL608" s="334">
        <v>1.06</v>
      </c>
      <c r="AM608" s="335">
        <v>1.1000000000000001</v>
      </c>
      <c r="AN608" s="334">
        <v>1.1200000000000001</v>
      </c>
      <c r="AO608" s="334">
        <v>1.1100000000000001</v>
      </c>
      <c r="AQ608" s="333">
        <v>320</v>
      </c>
      <c r="AR608" s="334">
        <v>1</v>
      </c>
      <c r="AS608" s="334">
        <v>1.1000000000000001</v>
      </c>
      <c r="AT608" s="335">
        <v>1.1599999999999999</v>
      </c>
      <c r="AU608" s="334">
        <v>1.21</v>
      </c>
      <c r="AV608" s="334">
        <v>1.22</v>
      </c>
      <c r="AX608" s="333">
        <v>320</v>
      </c>
      <c r="AY608" s="334">
        <v>1</v>
      </c>
      <c r="AZ608" s="334">
        <v>1.1100000000000001</v>
      </c>
      <c r="BA608" s="335">
        <v>1.19</v>
      </c>
      <c r="BB608" s="334">
        <v>1.25</v>
      </c>
      <c r="BC608" s="334">
        <v>1.27</v>
      </c>
      <c r="BE608" s="333">
        <v>320</v>
      </c>
      <c r="BF608" s="334">
        <v>1</v>
      </c>
      <c r="BG608" s="334">
        <v>1.1000000000000001</v>
      </c>
      <c r="BH608" s="335">
        <v>1.19</v>
      </c>
      <c r="BI608" s="334">
        <v>1.24</v>
      </c>
      <c r="BJ608" s="334">
        <v>1.26</v>
      </c>
      <c r="BL608" s="333">
        <v>320</v>
      </c>
      <c r="BM608" s="334">
        <v>1</v>
      </c>
      <c r="BN608" s="334">
        <v>1.08</v>
      </c>
      <c r="BO608" s="335">
        <v>1.1399999999999999</v>
      </c>
      <c r="BP608" s="334">
        <v>1.1599999999999999</v>
      </c>
      <c r="BQ608" s="334">
        <v>1.1599999999999999</v>
      </c>
      <c r="BS608" s="333">
        <v>320</v>
      </c>
      <c r="BT608" s="334">
        <v>1</v>
      </c>
      <c r="BU608" s="334">
        <v>1.05</v>
      </c>
      <c r="BV608" s="335">
        <v>1.07</v>
      </c>
      <c r="BW608" s="334">
        <v>1.06</v>
      </c>
      <c r="BX608" s="334">
        <v>1.04</v>
      </c>
      <c r="BZ608" s="333">
        <v>320</v>
      </c>
      <c r="CA608" s="334">
        <v>1</v>
      </c>
      <c r="CB608" s="334">
        <v>1.02</v>
      </c>
      <c r="CC608" s="335">
        <v>1</v>
      </c>
      <c r="CD608" s="334">
        <v>0.98</v>
      </c>
      <c r="CE608" s="334">
        <v>0.92</v>
      </c>
      <c r="CG608" s="333">
        <v>320</v>
      </c>
      <c r="CH608" s="334">
        <v>1</v>
      </c>
      <c r="CI608" s="334">
        <v>0.99</v>
      </c>
      <c r="CJ608" s="335">
        <v>0.96</v>
      </c>
      <c r="CK608" s="334">
        <v>0.91</v>
      </c>
      <c r="CL608" s="334">
        <v>0.84</v>
      </c>
      <c r="CN608" s="333">
        <v>320</v>
      </c>
      <c r="CO608" s="334">
        <v>1</v>
      </c>
      <c r="CP608" s="334">
        <v>0.98</v>
      </c>
      <c r="CQ608" s="335">
        <v>0.93</v>
      </c>
      <c r="CR608" s="334">
        <v>0.87</v>
      </c>
      <c r="CS608" s="334">
        <v>0.8</v>
      </c>
    </row>
    <row r="609" spans="3:98" x14ac:dyDescent="0.25">
      <c r="C609" s="333">
        <v>60</v>
      </c>
      <c r="D609" s="334">
        <v>0.95</v>
      </c>
      <c r="E609" s="334">
        <v>0.97</v>
      </c>
      <c r="F609" s="335">
        <v>0.97</v>
      </c>
      <c r="G609" s="334">
        <v>0.95</v>
      </c>
      <c r="H609" s="334">
        <v>0.91</v>
      </c>
      <c r="I609" s="334">
        <v>0.86</v>
      </c>
      <c r="J609" s="334">
        <v>0.79</v>
      </c>
      <c r="K609" s="334">
        <v>0.72</v>
      </c>
      <c r="L609" s="334">
        <v>0.64</v>
      </c>
      <c r="M609" s="334">
        <v>0.56000000000000005</v>
      </c>
      <c r="O609" s="333">
        <v>330</v>
      </c>
      <c r="P609" s="334">
        <v>1</v>
      </c>
      <c r="Q609" s="334">
        <v>0.98</v>
      </c>
      <c r="R609" s="335">
        <v>0.93</v>
      </c>
      <c r="S609" s="334">
        <v>0.87</v>
      </c>
      <c r="T609" s="334">
        <v>0.8</v>
      </c>
      <c r="V609" s="333">
        <v>330</v>
      </c>
      <c r="W609" s="334">
        <v>1</v>
      </c>
      <c r="X609" s="334">
        <v>1</v>
      </c>
      <c r="Y609" s="335">
        <v>0.98</v>
      </c>
      <c r="Z609" s="334">
        <v>0.93</v>
      </c>
      <c r="AA609" s="334">
        <v>0.87</v>
      </c>
      <c r="AC609" s="333">
        <v>330</v>
      </c>
      <c r="AD609" s="334">
        <v>1</v>
      </c>
      <c r="AE609" s="334">
        <v>1.03</v>
      </c>
      <c r="AF609" s="335">
        <v>1.04</v>
      </c>
      <c r="AG609" s="334">
        <v>1.03</v>
      </c>
      <c r="AH609" s="334">
        <v>0.99</v>
      </c>
      <c r="AJ609" s="333">
        <v>330</v>
      </c>
      <c r="AK609" s="334">
        <v>1</v>
      </c>
      <c r="AL609" s="334">
        <v>1.07</v>
      </c>
      <c r="AM609" s="335">
        <v>1.1100000000000001</v>
      </c>
      <c r="AN609" s="334">
        <v>1.1299999999999999</v>
      </c>
      <c r="AO609" s="334">
        <v>1.1200000000000001</v>
      </c>
      <c r="AQ609" s="333">
        <v>330</v>
      </c>
      <c r="AR609" s="334">
        <v>1</v>
      </c>
      <c r="AS609" s="334">
        <v>1.1100000000000001</v>
      </c>
      <c r="AT609" s="335">
        <v>1.19</v>
      </c>
      <c r="AU609" s="334">
        <v>1.24</v>
      </c>
      <c r="AV609" s="334">
        <v>1.26</v>
      </c>
      <c r="AX609" s="333">
        <v>330</v>
      </c>
      <c r="AY609" s="334">
        <v>1</v>
      </c>
      <c r="AZ609" s="334">
        <v>1.1299999999999999</v>
      </c>
      <c r="BA609" s="335">
        <v>1.22</v>
      </c>
      <c r="BB609" s="334">
        <v>1.28</v>
      </c>
      <c r="BC609" s="334">
        <v>1.32</v>
      </c>
      <c r="BE609" s="333">
        <v>330</v>
      </c>
      <c r="BF609" s="334">
        <v>1</v>
      </c>
      <c r="BG609" s="334">
        <v>1.1200000000000001</v>
      </c>
      <c r="BH609" s="335">
        <v>1.21</v>
      </c>
      <c r="BI609" s="334">
        <v>1.27</v>
      </c>
      <c r="BJ609" s="334">
        <v>1.3</v>
      </c>
      <c r="BL609" s="333">
        <v>330</v>
      </c>
      <c r="BM609" s="334">
        <v>1</v>
      </c>
      <c r="BN609" s="334">
        <v>1.0900000000000001</v>
      </c>
      <c r="BO609" s="335">
        <v>1.1499999999999999</v>
      </c>
      <c r="BP609" s="334">
        <v>1.19</v>
      </c>
      <c r="BQ609" s="334">
        <v>1.19</v>
      </c>
      <c r="BS609" s="333">
        <v>330</v>
      </c>
      <c r="BT609" s="334">
        <v>1</v>
      </c>
      <c r="BU609" s="334">
        <v>1.05</v>
      </c>
      <c r="BV609" s="335">
        <v>1.08</v>
      </c>
      <c r="BW609" s="334">
        <v>1.08</v>
      </c>
      <c r="BX609" s="334">
        <v>1.05</v>
      </c>
      <c r="BZ609" s="333">
        <v>330</v>
      </c>
      <c r="CA609" s="334">
        <v>1</v>
      </c>
      <c r="CB609" s="334">
        <v>1.01</v>
      </c>
      <c r="CC609" s="335">
        <v>1</v>
      </c>
      <c r="CD609" s="334">
        <v>0.97</v>
      </c>
      <c r="CE609" s="334">
        <v>0.92</v>
      </c>
      <c r="CG609" s="333">
        <v>330</v>
      </c>
      <c r="CH609" s="334">
        <v>1</v>
      </c>
      <c r="CI609" s="334">
        <v>0.99</v>
      </c>
      <c r="CJ609" s="335">
        <v>0.95</v>
      </c>
      <c r="CK609" s="334">
        <v>0.9</v>
      </c>
      <c r="CL609" s="334">
        <v>0.82</v>
      </c>
      <c r="CN609" s="333">
        <v>330</v>
      </c>
      <c r="CO609" s="334">
        <v>1</v>
      </c>
      <c r="CP609" s="334">
        <v>0.97</v>
      </c>
      <c r="CQ609" s="335">
        <v>0.92</v>
      </c>
      <c r="CR609" s="334">
        <v>0.85</v>
      </c>
      <c r="CS609" s="334">
        <v>0.77</v>
      </c>
    </row>
    <row r="610" spans="3:98" x14ac:dyDescent="0.25">
      <c r="C610" s="333">
        <v>70</v>
      </c>
      <c r="D610" s="334">
        <v>0.95</v>
      </c>
      <c r="E610" s="334">
        <v>0.96</v>
      </c>
      <c r="F610" s="335">
        <v>0.96</v>
      </c>
      <c r="G610" s="334">
        <v>0.94</v>
      </c>
      <c r="H610" s="334">
        <v>0.9</v>
      </c>
      <c r="I610" s="334">
        <v>0.84</v>
      </c>
      <c r="J610" s="334">
        <v>0.78</v>
      </c>
      <c r="K610" s="334">
        <v>0.71</v>
      </c>
      <c r="L610" s="334">
        <v>0.63</v>
      </c>
      <c r="M610" s="334">
        <v>0.55000000000000004</v>
      </c>
      <c r="O610" s="333">
        <v>340</v>
      </c>
      <c r="P610" s="334">
        <v>1</v>
      </c>
      <c r="Q610" s="334">
        <v>0.98</v>
      </c>
      <c r="R610" s="335">
        <v>0.93</v>
      </c>
      <c r="S610" s="334">
        <v>0.87</v>
      </c>
      <c r="T610" s="334">
        <v>0.78</v>
      </c>
      <c r="V610" s="333">
        <v>340</v>
      </c>
      <c r="W610" s="334">
        <v>1</v>
      </c>
      <c r="X610" s="334">
        <v>1</v>
      </c>
      <c r="Y610" s="335">
        <v>0.97</v>
      </c>
      <c r="Z610" s="334">
        <v>0.93</v>
      </c>
      <c r="AA610" s="334">
        <v>0.87</v>
      </c>
      <c r="AC610" s="333">
        <v>340</v>
      </c>
      <c r="AD610" s="334">
        <v>1</v>
      </c>
      <c r="AE610" s="334">
        <v>1.03</v>
      </c>
      <c r="AF610" s="335">
        <v>1.04</v>
      </c>
      <c r="AG610" s="334">
        <v>1.03</v>
      </c>
      <c r="AH610" s="334">
        <v>1</v>
      </c>
      <c r="AJ610" s="333">
        <v>340</v>
      </c>
      <c r="AK610" s="334">
        <v>1</v>
      </c>
      <c r="AL610" s="334">
        <v>1.08</v>
      </c>
      <c r="AM610" s="335">
        <v>1.1200000000000001</v>
      </c>
      <c r="AN610" s="334">
        <v>1.1499999999999999</v>
      </c>
      <c r="AO610" s="334">
        <v>1.1399999999999999</v>
      </c>
      <c r="AQ610" s="333">
        <v>340</v>
      </c>
      <c r="AR610" s="334">
        <v>1</v>
      </c>
      <c r="AS610" s="334">
        <v>1.1200000000000001</v>
      </c>
      <c r="AT610" s="335">
        <v>1.2</v>
      </c>
      <c r="AU610" s="334">
        <v>1.26</v>
      </c>
      <c r="AV610" s="334">
        <v>1.29</v>
      </c>
      <c r="AX610" s="333">
        <v>340</v>
      </c>
      <c r="AY610" s="334">
        <v>1</v>
      </c>
      <c r="AZ610" s="334">
        <v>1.1299999999999999</v>
      </c>
      <c r="BA610" s="335">
        <v>1.24</v>
      </c>
      <c r="BB610" s="334">
        <v>1.31</v>
      </c>
      <c r="BC610" s="334">
        <v>1.35</v>
      </c>
      <c r="BE610" s="333">
        <v>340</v>
      </c>
      <c r="BF610" s="334">
        <v>1</v>
      </c>
      <c r="BG610" s="334">
        <v>1.1299999999999999</v>
      </c>
      <c r="BH610" s="335">
        <v>1.23</v>
      </c>
      <c r="BI610" s="334">
        <v>1.3</v>
      </c>
      <c r="BJ610" s="334">
        <v>1.34</v>
      </c>
      <c r="BL610" s="333">
        <v>340</v>
      </c>
      <c r="BM610" s="334">
        <v>1</v>
      </c>
      <c r="BN610" s="334">
        <v>1.1000000000000001</v>
      </c>
      <c r="BO610" s="335">
        <v>1.17</v>
      </c>
      <c r="BP610" s="334">
        <v>1.21</v>
      </c>
      <c r="BQ610" s="334">
        <v>1.21</v>
      </c>
      <c r="BS610" s="333">
        <v>340</v>
      </c>
      <c r="BT610" s="334">
        <v>1</v>
      </c>
      <c r="BU610" s="334">
        <v>1.06</v>
      </c>
      <c r="BV610" s="335">
        <v>1.08</v>
      </c>
      <c r="BW610" s="334">
        <v>1.08</v>
      </c>
      <c r="BX610" s="334">
        <v>1.06</v>
      </c>
      <c r="BZ610" s="333">
        <v>340</v>
      </c>
      <c r="CA610" s="334">
        <v>1</v>
      </c>
      <c r="CB610" s="334">
        <v>1.01</v>
      </c>
      <c r="CC610" s="335">
        <v>1</v>
      </c>
      <c r="CD610" s="334">
        <v>0.97</v>
      </c>
      <c r="CE610" s="334">
        <v>0.91</v>
      </c>
      <c r="CG610" s="333">
        <v>340</v>
      </c>
      <c r="CH610" s="334">
        <v>1</v>
      </c>
      <c r="CI610" s="334">
        <v>0.98</v>
      </c>
      <c r="CJ610" s="335">
        <v>0.95</v>
      </c>
      <c r="CK610" s="334">
        <v>0.89</v>
      </c>
      <c r="CL610" s="334">
        <v>0.81</v>
      </c>
      <c r="CN610" s="333">
        <v>340</v>
      </c>
      <c r="CO610" s="334">
        <v>1</v>
      </c>
      <c r="CP610" s="334">
        <v>0.97</v>
      </c>
      <c r="CQ610" s="335">
        <v>0.91</v>
      </c>
      <c r="CR610" s="334">
        <v>0.84</v>
      </c>
      <c r="CS610" s="334">
        <v>0.75</v>
      </c>
    </row>
    <row r="611" spans="3:98" x14ac:dyDescent="0.25">
      <c r="C611" s="333">
        <v>80</v>
      </c>
      <c r="D611" s="334">
        <v>0.95</v>
      </c>
      <c r="E611" s="334">
        <v>0.96</v>
      </c>
      <c r="F611" s="335">
        <v>0.95</v>
      </c>
      <c r="G611" s="334">
        <v>0.92</v>
      </c>
      <c r="H611" s="334">
        <v>0.88</v>
      </c>
      <c r="I611" s="334">
        <v>0.82</v>
      </c>
      <c r="J611" s="334">
        <v>0.76</v>
      </c>
      <c r="K611" s="334">
        <v>0.69</v>
      </c>
      <c r="L611" s="334">
        <v>0.62</v>
      </c>
      <c r="M611" s="334">
        <v>0.54</v>
      </c>
      <c r="O611" s="333">
        <v>350</v>
      </c>
      <c r="P611" s="334">
        <v>1</v>
      </c>
      <c r="Q611" s="334">
        <v>0.97</v>
      </c>
      <c r="R611" s="335">
        <v>0.93</v>
      </c>
      <c r="S611" s="334">
        <v>0.86</v>
      </c>
      <c r="T611" s="334">
        <v>0.77</v>
      </c>
      <c r="V611" s="333">
        <v>350</v>
      </c>
      <c r="W611" s="334">
        <v>1</v>
      </c>
      <c r="X611" s="334">
        <v>1</v>
      </c>
      <c r="Y611" s="335">
        <v>0.97</v>
      </c>
      <c r="Z611" s="334">
        <v>0.92</v>
      </c>
      <c r="AA611" s="334">
        <v>0.86</v>
      </c>
      <c r="AC611" s="333">
        <v>350</v>
      </c>
      <c r="AD611" s="334">
        <v>1</v>
      </c>
      <c r="AE611" s="334">
        <v>1.04</v>
      </c>
      <c r="AF611" s="335">
        <v>1.05</v>
      </c>
      <c r="AG611" s="334">
        <v>1.03</v>
      </c>
      <c r="AH611" s="334">
        <v>1</v>
      </c>
      <c r="AJ611" s="333">
        <v>350</v>
      </c>
      <c r="AK611" s="334">
        <v>1</v>
      </c>
      <c r="AL611" s="334">
        <v>1.08</v>
      </c>
      <c r="AM611" s="335">
        <v>1.1299999999999999</v>
      </c>
      <c r="AN611" s="334">
        <v>1.1499999999999999</v>
      </c>
      <c r="AO611" s="334">
        <v>1.1499999999999999</v>
      </c>
      <c r="AQ611" s="333">
        <v>350</v>
      </c>
      <c r="AR611" s="334">
        <v>1</v>
      </c>
      <c r="AS611" s="334">
        <v>1.1200000000000001</v>
      </c>
      <c r="AT611" s="335">
        <v>1.21</v>
      </c>
      <c r="AU611" s="334">
        <v>1.28</v>
      </c>
      <c r="AV611" s="334">
        <v>1.31</v>
      </c>
      <c r="AX611" s="333">
        <v>350</v>
      </c>
      <c r="AY611" s="334">
        <v>1</v>
      </c>
      <c r="AZ611" s="334">
        <v>1.1399999999999999</v>
      </c>
      <c r="BA611" s="335">
        <v>1.25</v>
      </c>
      <c r="BB611" s="334">
        <v>1.33</v>
      </c>
      <c r="BC611" s="334">
        <v>1.38</v>
      </c>
      <c r="BE611" s="333">
        <v>350</v>
      </c>
      <c r="BF611" s="334">
        <v>1</v>
      </c>
      <c r="BG611" s="334">
        <v>1.1299999999999999</v>
      </c>
      <c r="BH611" s="335">
        <v>1.24</v>
      </c>
      <c r="BI611" s="334">
        <v>1.31</v>
      </c>
      <c r="BJ611" s="334">
        <v>1.35</v>
      </c>
      <c r="BL611" s="333">
        <v>350</v>
      </c>
      <c r="BM611" s="334">
        <v>1</v>
      </c>
      <c r="BN611" s="334">
        <v>1.1000000000000001</v>
      </c>
      <c r="BO611" s="335">
        <v>1.17</v>
      </c>
      <c r="BP611" s="334">
        <v>1.22</v>
      </c>
      <c r="BQ611" s="334">
        <v>1.23</v>
      </c>
      <c r="BS611" s="333">
        <v>350</v>
      </c>
      <c r="BT611" s="334">
        <v>1</v>
      </c>
      <c r="BU611" s="334">
        <v>1.06</v>
      </c>
      <c r="BV611" s="335">
        <v>1.0900000000000001</v>
      </c>
      <c r="BW611" s="334">
        <v>1.0900000000000001</v>
      </c>
      <c r="BX611" s="334">
        <v>1.06</v>
      </c>
      <c r="BZ611" s="333">
        <v>350</v>
      </c>
      <c r="CA611" s="334">
        <v>1</v>
      </c>
      <c r="CB611" s="334">
        <v>1.01</v>
      </c>
      <c r="CC611" s="335">
        <v>1</v>
      </c>
      <c r="CD611" s="334">
        <v>0.96</v>
      </c>
      <c r="CE611" s="334">
        <v>0.9</v>
      </c>
      <c r="CG611" s="333">
        <v>350</v>
      </c>
      <c r="CH611" s="334">
        <v>1</v>
      </c>
      <c r="CI611" s="334">
        <v>0.98</v>
      </c>
      <c r="CJ611" s="335">
        <v>0.94</v>
      </c>
      <c r="CK611" s="334">
        <v>0.88</v>
      </c>
      <c r="CL611" s="334">
        <v>0.8</v>
      </c>
      <c r="CN611" s="333">
        <v>350</v>
      </c>
      <c r="CO611" s="334">
        <v>1</v>
      </c>
      <c r="CP611" s="334">
        <v>0.96</v>
      </c>
      <c r="CQ611" s="335">
        <v>0.91</v>
      </c>
      <c r="CR611" s="334">
        <v>0.83</v>
      </c>
      <c r="CS611" s="334">
        <v>0.74</v>
      </c>
    </row>
    <row r="612" spans="3:98" x14ac:dyDescent="0.25">
      <c r="C612" s="333">
        <v>90</v>
      </c>
      <c r="D612" s="334">
        <v>0.95</v>
      </c>
      <c r="E612" s="334">
        <v>0.95</v>
      </c>
      <c r="F612" s="335">
        <v>0.94</v>
      </c>
      <c r="G612" s="334">
        <v>0.9</v>
      </c>
      <c r="H612" s="334">
        <v>0.85</v>
      </c>
      <c r="I612" s="334">
        <v>0.8</v>
      </c>
      <c r="J612" s="334">
        <v>0.74</v>
      </c>
      <c r="K612" s="334">
        <v>0.67</v>
      </c>
      <c r="L612" s="334">
        <v>0.6</v>
      </c>
      <c r="M612" s="334">
        <v>0.53</v>
      </c>
      <c r="O612" s="333">
        <v>0</v>
      </c>
      <c r="P612" s="334">
        <v>1</v>
      </c>
      <c r="Q612" s="334">
        <v>0.97</v>
      </c>
      <c r="R612" s="335">
        <v>0.93</v>
      </c>
      <c r="S612" s="334">
        <v>0.86</v>
      </c>
      <c r="T612" s="334">
        <v>0.77</v>
      </c>
      <c r="V612" s="333">
        <v>0</v>
      </c>
      <c r="W612" s="334">
        <v>1</v>
      </c>
      <c r="X612" s="334">
        <v>1</v>
      </c>
      <c r="Y612" s="335">
        <v>0.98</v>
      </c>
      <c r="Z612" s="334">
        <v>0.93</v>
      </c>
      <c r="AA612" s="334">
        <v>0.86</v>
      </c>
      <c r="AC612" s="333">
        <v>0</v>
      </c>
      <c r="AD612" s="334">
        <v>1</v>
      </c>
      <c r="AE612" s="334">
        <v>1.04</v>
      </c>
      <c r="AF612" s="335">
        <v>1.05</v>
      </c>
      <c r="AG612" s="334">
        <v>1.03</v>
      </c>
      <c r="AH612" s="334">
        <v>1</v>
      </c>
      <c r="AJ612" s="333">
        <v>0</v>
      </c>
      <c r="AK612" s="334">
        <v>1</v>
      </c>
      <c r="AL612" s="334">
        <v>1.08</v>
      </c>
      <c r="AM612" s="335">
        <v>1.1299999999999999</v>
      </c>
      <c r="AN612" s="334">
        <v>1.1599999999999999</v>
      </c>
      <c r="AO612" s="334">
        <v>1.1499999999999999</v>
      </c>
      <c r="AQ612" s="333">
        <v>0</v>
      </c>
      <c r="AR612" s="334">
        <v>1</v>
      </c>
      <c r="AS612" s="334">
        <v>1.1200000000000001</v>
      </c>
      <c r="AT612" s="335">
        <v>1.22</v>
      </c>
      <c r="AU612" s="334">
        <v>1.28</v>
      </c>
      <c r="AV612" s="334">
        <v>1.31</v>
      </c>
      <c r="AX612" s="333">
        <v>0</v>
      </c>
      <c r="AY612" s="334">
        <v>1</v>
      </c>
      <c r="AZ612" s="334">
        <v>1.1399999999999999</v>
      </c>
      <c r="BA612" s="335">
        <v>1.25</v>
      </c>
      <c r="BB612" s="334">
        <v>1.33</v>
      </c>
      <c r="BC612" s="334">
        <v>1.38</v>
      </c>
      <c r="BE612" s="333">
        <v>0</v>
      </c>
      <c r="BF612" s="334">
        <v>1</v>
      </c>
      <c r="BG612" s="334">
        <v>1.1299999999999999</v>
      </c>
      <c r="BH612" s="335">
        <v>1.24</v>
      </c>
      <c r="BI612" s="334">
        <v>1.32</v>
      </c>
      <c r="BJ612" s="334">
        <v>1.37</v>
      </c>
      <c r="BL612" s="333">
        <v>0</v>
      </c>
      <c r="BM612" s="334">
        <v>1</v>
      </c>
      <c r="BN612" s="334">
        <v>1.1000000000000001</v>
      </c>
      <c r="BO612" s="335">
        <v>1.18</v>
      </c>
      <c r="BP612" s="334">
        <v>1.22</v>
      </c>
      <c r="BQ612" s="334">
        <v>1.23</v>
      </c>
      <c r="BS612" s="333">
        <v>0</v>
      </c>
      <c r="BT612" s="334">
        <v>1</v>
      </c>
      <c r="BU612" s="334">
        <v>1.06</v>
      </c>
      <c r="BV612" s="335">
        <v>1.0900000000000001</v>
      </c>
      <c r="BW612" s="334">
        <v>1.0900000000000001</v>
      </c>
      <c r="BX612" s="334">
        <v>1.06</v>
      </c>
      <c r="BZ612" s="333">
        <v>0</v>
      </c>
      <c r="CA612" s="334">
        <v>1</v>
      </c>
      <c r="CB612" s="334">
        <v>1.01</v>
      </c>
      <c r="CC612" s="335">
        <v>1</v>
      </c>
      <c r="CD612" s="334">
        <v>0.96</v>
      </c>
      <c r="CE612" s="334">
        <v>0.9</v>
      </c>
      <c r="CG612" s="333">
        <v>0</v>
      </c>
      <c r="CH612" s="334">
        <v>1</v>
      </c>
      <c r="CI612" s="334">
        <v>0.98</v>
      </c>
      <c r="CJ612" s="335">
        <v>0.94</v>
      </c>
      <c r="CK612" s="334">
        <v>0.88</v>
      </c>
      <c r="CL612" s="334">
        <v>0.79</v>
      </c>
      <c r="CN612" s="333">
        <v>0</v>
      </c>
      <c r="CO612" s="334">
        <v>1</v>
      </c>
      <c r="CP612" s="334">
        <v>0.96</v>
      </c>
      <c r="CQ612" s="335">
        <v>0.91</v>
      </c>
      <c r="CR612" s="334">
        <v>0.83</v>
      </c>
      <c r="CS612" s="334">
        <v>0.74</v>
      </c>
    </row>
    <row r="613" spans="3:98" x14ac:dyDescent="0.25">
      <c r="C613" s="333">
        <v>100</v>
      </c>
      <c r="D613" s="334">
        <v>0.95</v>
      </c>
      <c r="E613" s="334">
        <v>0.95</v>
      </c>
      <c r="F613" s="335">
        <v>0.92</v>
      </c>
      <c r="G613" s="334">
        <v>0.89</v>
      </c>
      <c r="H613" s="334">
        <v>0.83</v>
      </c>
      <c r="I613" s="334">
        <v>0.78</v>
      </c>
      <c r="J613" s="334">
        <v>0.71</v>
      </c>
      <c r="K613" s="334">
        <v>0.64</v>
      </c>
      <c r="L613" s="334">
        <v>0.57999999999999996</v>
      </c>
      <c r="M613" s="334">
        <v>0.51</v>
      </c>
      <c r="O613" s="333">
        <v>10</v>
      </c>
      <c r="P613" s="334">
        <v>1</v>
      </c>
      <c r="Q613" s="334">
        <v>0.98</v>
      </c>
      <c r="R613" s="335">
        <v>0.93</v>
      </c>
      <c r="S613" s="334">
        <v>0.87</v>
      </c>
      <c r="T613" s="334">
        <v>0.78</v>
      </c>
      <c r="V613" s="333">
        <v>10</v>
      </c>
      <c r="W613" s="334">
        <v>1</v>
      </c>
      <c r="X613" s="334">
        <v>1</v>
      </c>
      <c r="Y613" s="335">
        <v>0.98</v>
      </c>
      <c r="Z613" s="334">
        <v>0.93</v>
      </c>
      <c r="AA613" s="334">
        <v>0.87</v>
      </c>
      <c r="AC613" s="333">
        <v>10</v>
      </c>
      <c r="AD613" s="334">
        <v>1</v>
      </c>
      <c r="AE613" s="334">
        <v>1.04</v>
      </c>
      <c r="AF613" s="335">
        <v>1.05</v>
      </c>
      <c r="AG613" s="334">
        <v>1.03</v>
      </c>
      <c r="AH613" s="334">
        <v>1</v>
      </c>
      <c r="AJ613" s="333">
        <v>10</v>
      </c>
      <c r="AK613" s="334">
        <v>1</v>
      </c>
      <c r="AL613" s="334">
        <v>1.08</v>
      </c>
      <c r="AM613" s="335">
        <v>1.1299999999999999</v>
      </c>
      <c r="AN613" s="334">
        <v>1.1499999999999999</v>
      </c>
      <c r="AO613" s="334">
        <v>1.1499999999999999</v>
      </c>
      <c r="AQ613" s="333">
        <v>10</v>
      </c>
      <c r="AR613" s="334">
        <v>1</v>
      </c>
      <c r="AS613" s="334">
        <v>1.1200000000000001</v>
      </c>
      <c r="AT613" s="335">
        <v>1.21</v>
      </c>
      <c r="AU613" s="334">
        <v>1.28</v>
      </c>
      <c r="AV613" s="334">
        <v>1.31</v>
      </c>
      <c r="AX613" s="333">
        <v>10</v>
      </c>
      <c r="AY613" s="334">
        <v>1</v>
      </c>
      <c r="AZ613" s="334">
        <v>1.1399999999999999</v>
      </c>
      <c r="BA613" s="335">
        <v>1.25</v>
      </c>
      <c r="BB613" s="334">
        <v>1.33</v>
      </c>
      <c r="BC613" s="334">
        <v>1.38</v>
      </c>
      <c r="BE613" s="333">
        <v>10</v>
      </c>
      <c r="BF613" s="334">
        <v>1</v>
      </c>
      <c r="BG613" s="334">
        <v>1.1299999999999999</v>
      </c>
      <c r="BH613" s="335">
        <v>1.24</v>
      </c>
      <c r="BI613" s="334">
        <v>1.31</v>
      </c>
      <c r="BJ613" s="334">
        <v>1.35</v>
      </c>
      <c r="BL613" s="333">
        <v>10</v>
      </c>
      <c r="BM613" s="334">
        <v>1</v>
      </c>
      <c r="BN613" s="334">
        <v>1.1000000000000001</v>
      </c>
      <c r="BO613" s="335">
        <v>1.17</v>
      </c>
      <c r="BP613" s="334">
        <v>1.22</v>
      </c>
      <c r="BQ613" s="334">
        <v>1.23</v>
      </c>
      <c r="BS613" s="333">
        <v>10</v>
      </c>
      <c r="BT613" s="334">
        <v>1</v>
      </c>
      <c r="BU613" s="334">
        <v>1.06</v>
      </c>
      <c r="BV613" s="335">
        <v>1.0900000000000001</v>
      </c>
      <c r="BW613" s="334">
        <v>1.0900000000000001</v>
      </c>
      <c r="BX613" s="334">
        <v>1.06</v>
      </c>
      <c r="BZ613" s="333">
        <v>10</v>
      </c>
      <c r="CA613" s="334">
        <v>1</v>
      </c>
      <c r="CB613" s="334">
        <v>1.01</v>
      </c>
      <c r="CC613" s="335">
        <v>1</v>
      </c>
      <c r="CD613" s="334">
        <v>0.96</v>
      </c>
      <c r="CE613" s="334">
        <v>0.9</v>
      </c>
      <c r="CG613" s="333">
        <v>10</v>
      </c>
      <c r="CH613" s="334">
        <v>1</v>
      </c>
      <c r="CI613" s="334">
        <v>0.98</v>
      </c>
      <c r="CJ613" s="335">
        <v>0.94</v>
      </c>
      <c r="CK613" s="334">
        <v>0.88</v>
      </c>
      <c r="CL613" s="334">
        <v>0.79</v>
      </c>
      <c r="CN613" s="333">
        <v>10</v>
      </c>
      <c r="CO613" s="334">
        <v>1</v>
      </c>
      <c r="CP613" s="334">
        <v>0.96</v>
      </c>
      <c r="CQ613" s="335">
        <v>0.91</v>
      </c>
      <c r="CR613" s="334">
        <v>0.83</v>
      </c>
      <c r="CS613" s="334">
        <v>0.74</v>
      </c>
    </row>
    <row r="614" spans="3:98" x14ac:dyDescent="0.25">
      <c r="C614" s="333">
        <v>110</v>
      </c>
      <c r="D614" s="334">
        <v>0.95</v>
      </c>
      <c r="E614" s="334">
        <v>0.94</v>
      </c>
      <c r="F614" s="335">
        <v>0.91</v>
      </c>
      <c r="G614" s="334">
        <v>0.87</v>
      </c>
      <c r="H614" s="334">
        <v>0.81</v>
      </c>
      <c r="I614" s="334">
        <v>0.75</v>
      </c>
      <c r="J614" s="334">
        <v>0.68</v>
      </c>
      <c r="K614" s="334">
        <v>0.61</v>
      </c>
      <c r="L614" s="334">
        <v>0.54</v>
      </c>
      <c r="M614" s="334">
        <v>0.48</v>
      </c>
      <c r="O614" s="333">
        <v>20</v>
      </c>
      <c r="P614" s="334">
        <v>1</v>
      </c>
      <c r="Q614" s="334">
        <v>0.98</v>
      </c>
      <c r="R614" s="335">
        <v>0.93</v>
      </c>
      <c r="S614" s="334">
        <v>0.87</v>
      </c>
      <c r="T614" s="334">
        <v>0.79</v>
      </c>
      <c r="V614" s="333">
        <v>20</v>
      </c>
      <c r="W614" s="334">
        <v>1</v>
      </c>
      <c r="X614" s="334">
        <v>1</v>
      </c>
      <c r="Y614" s="335">
        <v>0.98</v>
      </c>
      <c r="Z614" s="334">
        <v>0.94</v>
      </c>
      <c r="AA614" s="334">
        <v>0.88</v>
      </c>
      <c r="AC614" s="333">
        <v>20</v>
      </c>
      <c r="AD614" s="334">
        <v>1</v>
      </c>
      <c r="AE614" s="334">
        <v>1.03</v>
      </c>
      <c r="AF614" s="335">
        <v>1.04</v>
      </c>
      <c r="AG614" s="334">
        <v>1.03</v>
      </c>
      <c r="AH614" s="334">
        <v>1</v>
      </c>
      <c r="AJ614" s="333">
        <v>20</v>
      </c>
      <c r="AK614" s="334">
        <v>1</v>
      </c>
      <c r="AL614" s="334">
        <v>1.08</v>
      </c>
      <c r="AM614" s="335">
        <v>1.1200000000000001</v>
      </c>
      <c r="AN614" s="334">
        <v>1.1399999999999999</v>
      </c>
      <c r="AO614" s="334">
        <v>1.1299999999999999</v>
      </c>
      <c r="AQ614" s="333">
        <v>20</v>
      </c>
      <c r="AR614" s="334">
        <v>1</v>
      </c>
      <c r="AS614" s="334">
        <v>1.1200000000000001</v>
      </c>
      <c r="AT614" s="335">
        <v>1.2</v>
      </c>
      <c r="AU614" s="334">
        <v>1.26</v>
      </c>
      <c r="AV614" s="334">
        <v>1.29</v>
      </c>
      <c r="AX614" s="333">
        <v>20</v>
      </c>
      <c r="AY614" s="334">
        <v>1</v>
      </c>
      <c r="AZ614" s="334">
        <v>1.1299999999999999</v>
      </c>
      <c r="BA614" s="335">
        <v>1.24</v>
      </c>
      <c r="BB614" s="334">
        <v>1.31</v>
      </c>
      <c r="BC614" s="334">
        <v>1.35</v>
      </c>
      <c r="BE614" s="333">
        <v>20</v>
      </c>
      <c r="BF614" s="334">
        <v>1</v>
      </c>
      <c r="BG614" s="334">
        <v>1.1299999999999999</v>
      </c>
      <c r="BH614" s="335">
        <v>1.23</v>
      </c>
      <c r="BI614" s="334">
        <v>1.3</v>
      </c>
      <c r="BJ614" s="334">
        <v>1.33</v>
      </c>
      <c r="BL614" s="333">
        <v>20</v>
      </c>
      <c r="BM614" s="334">
        <v>1</v>
      </c>
      <c r="BN614" s="334">
        <v>1.1000000000000001</v>
      </c>
      <c r="BO614" s="335">
        <v>1.1599999999999999</v>
      </c>
      <c r="BP614" s="334">
        <v>1.2</v>
      </c>
      <c r="BQ614" s="334">
        <v>1.21</v>
      </c>
      <c r="BS614" s="333">
        <v>20</v>
      </c>
      <c r="BT614" s="334">
        <v>1</v>
      </c>
      <c r="BU614" s="334">
        <v>1.05</v>
      </c>
      <c r="BV614" s="335">
        <v>1.08</v>
      </c>
      <c r="BW614" s="334">
        <v>1.08</v>
      </c>
      <c r="BX614" s="334">
        <v>1.05</v>
      </c>
      <c r="BZ614" s="333">
        <v>20</v>
      </c>
      <c r="CA614" s="334">
        <v>1</v>
      </c>
      <c r="CB614" s="334">
        <v>1.01</v>
      </c>
      <c r="CC614" s="335">
        <v>1</v>
      </c>
      <c r="CD614" s="334">
        <v>0.96</v>
      </c>
      <c r="CE614" s="334">
        <v>0.9</v>
      </c>
      <c r="CG614" s="333">
        <v>20</v>
      </c>
      <c r="CH614" s="334">
        <v>1</v>
      </c>
      <c r="CI614" s="334">
        <v>0.98</v>
      </c>
      <c r="CJ614" s="335">
        <v>0.94</v>
      </c>
      <c r="CK614" s="334">
        <v>0.88</v>
      </c>
      <c r="CL614" s="334">
        <v>0.8</v>
      </c>
      <c r="CN614" s="333">
        <v>20</v>
      </c>
      <c r="CO614" s="334">
        <v>1</v>
      </c>
      <c r="CP614" s="334">
        <v>0.97</v>
      </c>
      <c r="CQ614" s="335">
        <v>0.91</v>
      </c>
      <c r="CR614" s="334">
        <v>0.84</v>
      </c>
      <c r="CS614" s="334">
        <v>0.76</v>
      </c>
    </row>
    <row r="615" spans="3:98" x14ac:dyDescent="0.25">
      <c r="C615" s="333">
        <v>120</v>
      </c>
      <c r="D615" s="334">
        <v>0.95</v>
      </c>
      <c r="E615" s="334">
        <v>0.94</v>
      </c>
      <c r="F615" s="335">
        <v>0.9</v>
      </c>
      <c r="G615" s="334">
        <v>0.85</v>
      </c>
      <c r="H615" s="334">
        <v>0.79</v>
      </c>
      <c r="I615" s="334">
        <v>0.72</v>
      </c>
      <c r="J615" s="334">
        <v>0.65</v>
      </c>
      <c r="K615" s="334">
        <v>0.57999999999999996</v>
      </c>
      <c r="L615" s="334">
        <v>0.51</v>
      </c>
      <c r="M615" s="334">
        <v>0.45</v>
      </c>
      <c r="O615" s="333">
        <v>30</v>
      </c>
      <c r="P615" s="334">
        <v>1</v>
      </c>
      <c r="Q615" s="334">
        <v>0.98</v>
      </c>
      <c r="R615" s="335">
        <v>0.94</v>
      </c>
      <c r="S615" s="334">
        <v>0.88</v>
      </c>
      <c r="T615" s="334">
        <v>0.81</v>
      </c>
      <c r="V615" s="333">
        <v>30</v>
      </c>
      <c r="W615" s="334">
        <v>1</v>
      </c>
      <c r="X615" s="334">
        <v>1</v>
      </c>
      <c r="Y615" s="335">
        <v>0.98</v>
      </c>
      <c r="Z615" s="334">
        <v>0.94</v>
      </c>
      <c r="AA615" s="334">
        <v>0.89</v>
      </c>
      <c r="AC615" s="333">
        <v>30</v>
      </c>
      <c r="AD615" s="334">
        <v>1</v>
      </c>
      <c r="AE615" s="334">
        <v>1.03</v>
      </c>
      <c r="AF615" s="335">
        <v>1.04</v>
      </c>
      <c r="AG615" s="334">
        <v>1.03</v>
      </c>
      <c r="AH615" s="334">
        <v>0.99</v>
      </c>
      <c r="AJ615" s="333">
        <v>30</v>
      </c>
      <c r="AK615" s="334">
        <v>1</v>
      </c>
      <c r="AL615" s="334">
        <v>1.06</v>
      </c>
      <c r="AM615" s="335">
        <v>1.1100000000000001</v>
      </c>
      <c r="AN615" s="334">
        <v>1.1200000000000001</v>
      </c>
      <c r="AO615" s="334">
        <v>1.1100000000000001</v>
      </c>
      <c r="AQ615" s="333">
        <v>30</v>
      </c>
      <c r="AR615" s="334">
        <v>1</v>
      </c>
      <c r="AS615" s="334">
        <v>1.1100000000000001</v>
      </c>
      <c r="AT615" s="335">
        <v>1.19</v>
      </c>
      <c r="AU615" s="334">
        <v>1.24</v>
      </c>
      <c r="AV615" s="334">
        <v>1.25</v>
      </c>
      <c r="AX615" s="333">
        <v>30</v>
      </c>
      <c r="AY615" s="334">
        <v>1</v>
      </c>
      <c r="AZ615" s="334">
        <v>1.1200000000000001</v>
      </c>
      <c r="BA615" s="335">
        <v>1.21</v>
      </c>
      <c r="BB615" s="334">
        <v>1.28</v>
      </c>
      <c r="BC615" s="334">
        <v>1.31</v>
      </c>
      <c r="BE615" s="333">
        <v>30</v>
      </c>
      <c r="BF615" s="334">
        <v>1</v>
      </c>
      <c r="BG615" s="334">
        <v>1.1200000000000001</v>
      </c>
      <c r="BH615" s="335">
        <v>1.21</v>
      </c>
      <c r="BI615" s="334">
        <v>1.27</v>
      </c>
      <c r="BJ615" s="334">
        <v>1.3</v>
      </c>
      <c r="BL615" s="333">
        <v>30</v>
      </c>
      <c r="BM615" s="334">
        <v>1</v>
      </c>
      <c r="BN615" s="334">
        <v>1.0900000000000001</v>
      </c>
      <c r="BO615" s="335">
        <v>1.1499999999999999</v>
      </c>
      <c r="BP615" s="334">
        <v>1.18</v>
      </c>
      <c r="BQ615" s="334">
        <v>1.19</v>
      </c>
      <c r="BS615" s="333">
        <v>30</v>
      </c>
      <c r="BT615" s="334">
        <v>1</v>
      </c>
      <c r="BU615" s="334">
        <v>1.05</v>
      </c>
      <c r="BV615" s="335">
        <v>1.07</v>
      </c>
      <c r="BW615" s="334">
        <v>1.07</v>
      </c>
      <c r="BX615" s="334">
        <v>1.04</v>
      </c>
      <c r="BZ615" s="333">
        <v>30</v>
      </c>
      <c r="CA615" s="334">
        <v>1</v>
      </c>
      <c r="CB615" s="334">
        <v>1.01</v>
      </c>
      <c r="CC615" s="335">
        <v>0.99</v>
      </c>
      <c r="CD615" s="334">
        <v>0.96</v>
      </c>
      <c r="CE615" s="334">
        <v>0.9</v>
      </c>
      <c r="CG615" s="333">
        <v>30</v>
      </c>
      <c r="CH615" s="334">
        <v>1</v>
      </c>
      <c r="CI615" s="334">
        <v>0.98</v>
      </c>
      <c r="CJ615" s="335">
        <v>0.95</v>
      </c>
      <c r="CK615" s="334">
        <v>0.89</v>
      </c>
      <c r="CL615" s="334">
        <v>0.82</v>
      </c>
      <c r="CN615" s="333">
        <v>30</v>
      </c>
      <c r="CO615" s="334">
        <v>1</v>
      </c>
      <c r="CP615" s="334">
        <v>0.97</v>
      </c>
      <c r="CQ615" s="335">
        <v>0.92</v>
      </c>
      <c r="CR615" s="334">
        <v>0.85</v>
      </c>
      <c r="CS615" s="334">
        <v>0.78</v>
      </c>
    </row>
    <row r="616" spans="3:98" x14ac:dyDescent="0.25">
      <c r="C616" s="333">
        <v>130</v>
      </c>
      <c r="D616" s="334">
        <v>0.95</v>
      </c>
      <c r="E616" s="334">
        <v>0.93</v>
      </c>
      <c r="F616" s="335">
        <v>0.89</v>
      </c>
      <c r="G616" s="334">
        <v>0.83</v>
      </c>
      <c r="H616" s="334">
        <v>0.76</v>
      </c>
      <c r="I616" s="334">
        <v>0.69</v>
      </c>
      <c r="J616" s="334">
        <v>0.62</v>
      </c>
      <c r="K616" s="334">
        <v>0.54</v>
      </c>
      <c r="L616" s="334">
        <v>0.48</v>
      </c>
      <c r="M616" s="334">
        <v>0.41</v>
      </c>
      <c r="O616" s="333">
        <v>40</v>
      </c>
      <c r="P616" s="334">
        <v>1</v>
      </c>
      <c r="Q616" s="334">
        <v>0.99</v>
      </c>
      <c r="R616" s="335">
        <v>0.95</v>
      </c>
      <c r="S616" s="334">
        <v>0.9</v>
      </c>
      <c r="T616" s="334">
        <v>0.83</v>
      </c>
      <c r="V616" s="333">
        <v>40</v>
      </c>
      <c r="W616" s="334">
        <v>1</v>
      </c>
      <c r="X616" s="334">
        <v>1</v>
      </c>
      <c r="Y616" s="335">
        <v>0.99</v>
      </c>
      <c r="Z616" s="334">
        <v>0.95</v>
      </c>
      <c r="AA616" s="334">
        <v>0.9</v>
      </c>
      <c r="AC616" s="333">
        <v>40</v>
      </c>
      <c r="AD616" s="334">
        <v>1</v>
      </c>
      <c r="AE616" s="334">
        <v>1.03</v>
      </c>
      <c r="AF616" s="335">
        <v>1.04</v>
      </c>
      <c r="AG616" s="334">
        <v>1.02</v>
      </c>
      <c r="AH616" s="334">
        <v>0.99</v>
      </c>
      <c r="AJ616" s="333">
        <v>40</v>
      </c>
      <c r="AK616" s="334">
        <v>1</v>
      </c>
      <c r="AL616" s="334">
        <v>1.06</v>
      </c>
      <c r="AM616" s="335">
        <v>1.0900000000000001</v>
      </c>
      <c r="AN616" s="334">
        <v>1.1000000000000001</v>
      </c>
      <c r="AO616" s="334">
        <v>1.0900000000000001</v>
      </c>
      <c r="AQ616" s="333">
        <v>40</v>
      </c>
      <c r="AR616" s="334">
        <v>1</v>
      </c>
      <c r="AS616" s="334">
        <v>1.1000000000000001</v>
      </c>
      <c r="AT616" s="335">
        <v>1.1599999999999999</v>
      </c>
      <c r="AU616" s="334">
        <v>1.2</v>
      </c>
      <c r="AV616" s="334">
        <v>1.21</v>
      </c>
      <c r="AX616" s="333">
        <v>40</v>
      </c>
      <c r="AY616" s="334">
        <v>1</v>
      </c>
      <c r="AZ616" s="334">
        <v>1.1100000000000001</v>
      </c>
      <c r="BA616" s="335">
        <v>1.19</v>
      </c>
      <c r="BB616" s="334">
        <v>1.24</v>
      </c>
      <c r="BC616" s="334">
        <v>1.26</v>
      </c>
      <c r="BE616" s="333">
        <v>40</v>
      </c>
      <c r="BF616" s="334">
        <v>1</v>
      </c>
      <c r="BG616" s="334">
        <v>1.1000000000000001</v>
      </c>
      <c r="BH616" s="335">
        <v>1.18</v>
      </c>
      <c r="BI616" s="334">
        <v>1.23</v>
      </c>
      <c r="BJ616" s="334">
        <v>1.24</v>
      </c>
      <c r="BL616" s="333">
        <v>40</v>
      </c>
      <c r="BM616" s="334">
        <v>1</v>
      </c>
      <c r="BN616" s="334">
        <v>1.08</v>
      </c>
      <c r="BO616" s="335">
        <v>1.1299999999999999</v>
      </c>
      <c r="BP616" s="334">
        <v>1.1599999999999999</v>
      </c>
      <c r="BQ616" s="334">
        <v>1.1499999999999999</v>
      </c>
      <c r="BS616" s="333">
        <v>40</v>
      </c>
      <c r="BT616" s="334">
        <v>1</v>
      </c>
      <c r="BU616" s="334">
        <v>1.04</v>
      </c>
      <c r="BV616" s="335">
        <v>1.06</v>
      </c>
      <c r="BW616" s="334">
        <v>1.05</v>
      </c>
      <c r="BX616" s="334">
        <v>1.03</v>
      </c>
      <c r="BZ616" s="333">
        <v>40</v>
      </c>
      <c r="CA616" s="334">
        <v>1</v>
      </c>
      <c r="CB616" s="334">
        <v>1.01</v>
      </c>
      <c r="CC616" s="335">
        <v>0.99</v>
      </c>
      <c r="CD616" s="334">
        <v>0.96</v>
      </c>
      <c r="CE616" s="334">
        <v>0.9</v>
      </c>
      <c r="CG616" s="333">
        <v>40</v>
      </c>
      <c r="CH616" s="334">
        <v>1</v>
      </c>
      <c r="CI616" s="334">
        <v>0.99</v>
      </c>
      <c r="CJ616" s="335">
        <v>0.95</v>
      </c>
      <c r="CK616" s="334">
        <v>0.9</v>
      </c>
      <c r="CL616" s="334">
        <v>0.83</v>
      </c>
      <c r="CN616" s="333">
        <v>40</v>
      </c>
      <c r="CO616" s="334">
        <v>1</v>
      </c>
      <c r="CP616" s="334">
        <v>0.98</v>
      </c>
      <c r="CQ616" s="335">
        <v>0.93</v>
      </c>
      <c r="CR616" s="334">
        <v>0.87</v>
      </c>
      <c r="CS616" s="334">
        <v>0.8</v>
      </c>
    </row>
    <row r="617" spans="3:98" x14ac:dyDescent="0.25">
      <c r="C617" s="333">
        <v>140</v>
      </c>
      <c r="D617" s="334">
        <v>0.95</v>
      </c>
      <c r="E617" s="334">
        <v>0.93</v>
      </c>
      <c r="F617" s="335">
        <v>0.88</v>
      </c>
      <c r="G617" s="334">
        <v>0.82</v>
      </c>
      <c r="H617" s="334">
        <v>0.74</v>
      </c>
      <c r="I617" s="334">
        <v>0.66</v>
      </c>
      <c r="J617" s="334">
        <v>0.57999999999999996</v>
      </c>
      <c r="K617" s="334">
        <v>0.5</v>
      </c>
      <c r="L617" s="334">
        <v>0.44</v>
      </c>
      <c r="M617" s="334">
        <v>0.38</v>
      </c>
      <c r="O617" s="333">
        <v>50</v>
      </c>
      <c r="P617" s="334">
        <v>1</v>
      </c>
      <c r="Q617" s="334">
        <v>0.99</v>
      </c>
      <c r="R617" s="335">
        <v>0.96</v>
      </c>
      <c r="S617" s="334">
        <v>0.91</v>
      </c>
      <c r="T617" s="334">
        <v>0.86</v>
      </c>
      <c r="V617" s="333">
        <v>50</v>
      </c>
      <c r="W617" s="334">
        <v>1</v>
      </c>
      <c r="X617" s="334">
        <v>1</v>
      </c>
      <c r="Y617" s="335">
        <v>0.99</v>
      </c>
      <c r="Z617" s="334">
        <v>0.96</v>
      </c>
      <c r="AA617" s="334">
        <v>0.91</v>
      </c>
      <c r="AC617" s="333">
        <v>50</v>
      </c>
      <c r="AD617" s="334">
        <v>1</v>
      </c>
      <c r="AE617" s="334">
        <v>1.02</v>
      </c>
      <c r="AF617" s="335">
        <v>1.03</v>
      </c>
      <c r="AG617" s="334">
        <v>1.01</v>
      </c>
      <c r="AH617" s="334">
        <v>0.98</v>
      </c>
      <c r="AJ617" s="333">
        <v>50</v>
      </c>
      <c r="AK617" s="334">
        <v>1</v>
      </c>
      <c r="AL617" s="334">
        <v>1.05</v>
      </c>
      <c r="AM617" s="335">
        <v>1.08</v>
      </c>
      <c r="AN617" s="334">
        <v>1.08</v>
      </c>
      <c r="AO617" s="334">
        <v>1.06</v>
      </c>
      <c r="AQ617" s="333">
        <v>50</v>
      </c>
      <c r="AR617" s="334">
        <v>1</v>
      </c>
      <c r="AS617" s="334">
        <v>1.08</v>
      </c>
      <c r="AT617" s="335">
        <v>1.1299999999999999</v>
      </c>
      <c r="AU617" s="334">
        <v>1.1599999999999999</v>
      </c>
      <c r="AV617" s="334">
        <v>1.17</v>
      </c>
      <c r="AX617" s="333">
        <v>50</v>
      </c>
      <c r="AY617" s="334">
        <v>1</v>
      </c>
      <c r="AZ617" s="334">
        <v>1.0900000000000001</v>
      </c>
      <c r="BA617" s="335">
        <v>1.1599999999999999</v>
      </c>
      <c r="BB617" s="334">
        <v>1.19</v>
      </c>
      <c r="BC617" s="334">
        <v>1.21</v>
      </c>
      <c r="BE617" s="333">
        <v>50</v>
      </c>
      <c r="BF617" s="334">
        <v>1</v>
      </c>
      <c r="BG617" s="334">
        <v>1.0900000000000001</v>
      </c>
      <c r="BH617" s="335">
        <v>1.1499999999999999</v>
      </c>
      <c r="BI617" s="334">
        <v>1.19</v>
      </c>
      <c r="BJ617" s="334">
        <v>1.2</v>
      </c>
      <c r="BL617" s="333">
        <v>50</v>
      </c>
      <c r="BM617" s="334">
        <v>1</v>
      </c>
      <c r="BN617" s="334">
        <v>1.07</v>
      </c>
      <c r="BO617" s="335">
        <v>1.1100000000000001</v>
      </c>
      <c r="BP617" s="334">
        <v>1.1200000000000001</v>
      </c>
      <c r="BQ617" s="334">
        <v>1.1200000000000001</v>
      </c>
      <c r="BS617" s="333">
        <v>50</v>
      </c>
      <c r="BT617" s="334">
        <v>1</v>
      </c>
      <c r="BU617" s="334">
        <v>1.03</v>
      </c>
      <c r="BV617" s="335">
        <v>1.05</v>
      </c>
      <c r="BW617" s="334">
        <v>1.04</v>
      </c>
      <c r="BX617" s="334">
        <v>1.01</v>
      </c>
      <c r="BZ617" s="333">
        <v>50</v>
      </c>
      <c r="CA617" s="334">
        <v>1</v>
      </c>
      <c r="CB617" s="334">
        <v>1</v>
      </c>
      <c r="CC617" s="335">
        <v>0.99</v>
      </c>
      <c r="CD617" s="334">
        <v>0.96</v>
      </c>
      <c r="CE617" s="334">
        <v>0.9</v>
      </c>
      <c r="CG617" s="333">
        <v>50</v>
      </c>
      <c r="CH617" s="334">
        <v>1</v>
      </c>
      <c r="CI617" s="334">
        <v>0.99</v>
      </c>
      <c r="CJ617" s="335">
        <v>0.96</v>
      </c>
      <c r="CK617" s="334">
        <v>0.91</v>
      </c>
      <c r="CL617" s="334">
        <v>0.85</v>
      </c>
      <c r="CN617" s="333">
        <v>50</v>
      </c>
      <c r="CO617" s="334">
        <v>1</v>
      </c>
      <c r="CP617" s="334">
        <v>0.98</v>
      </c>
      <c r="CQ617" s="335">
        <v>0.94</v>
      </c>
      <c r="CR617" s="334">
        <v>0.89</v>
      </c>
      <c r="CS617" s="334">
        <v>0.82</v>
      </c>
    </row>
    <row r="618" spans="3:98" x14ac:dyDescent="0.25">
      <c r="C618" s="333">
        <v>150</v>
      </c>
      <c r="D618" s="334">
        <v>0.95</v>
      </c>
      <c r="E618" s="334">
        <v>0.92</v>
      </c>
      <c r="F618" s="335">
        <v>0.87</v>
      </c>
      <c r="G618" s="334">
        <v>0.8</v>
      </c>
      <c r="H618" s="334">
        <v>0.72</v>
      </c>
      <c r="I618" s="334">
        <v>0.63</v>
      </c>
      <c r="J618" s="334">
        <v>0.55000000000000004</v>
      </c>
      <c r="K618" s="334">
        <v>0.47</v>
      </c>
      <c r="L618" s="334">
        <v>0.4</v>
      </c>
      <c r="M618" s="334">
        <v>0.35</v>
      </c>
      <c r="O618" s="333">
        <v>60</v>
      </c>
      <c r="P618" s="334">
        <v>1</v>
      </c>
      <c r="Q618" s="334">
        <v>1</v>
      </c>
      <c r="R618" s="335">
        <v>0.97</v>
      </c>
      <c r="S618" s="334">
        <v>0.93</v>
      </c>
      <c r="T618" s="334">
        <v>0.87</v>
      </c>
      <c r="V618" s="333">
        <v>60</v>
      </c>
      <c r="W618" s="334">
        <v>1</v>
      </c>
      <c r="X618" s="334">
        <v>1</v>
      </c>
      <c r="Y618" s="335">
        <v>1</v>
      </c>
      <c r="Z618" s="334">
        <v>0.97</v>
      </c>
      <c r="AA618" s="334">
        <v>0.92</v>
      </c>
      <c r="AC618" s="333">
        <v>60</v>
      </c>
      <c r="AD618" s="334">
        <v>1</v>
      </c>
      <c r="AE618" s="334">
        <v>1.02</v>
      </c>
      <c r="AF618" s="335">
        <v>1.02</v>
      </c>
      <c r="AG618" s="334">
        <v>1</v>
      </c>
      <c r="AH618" s="334">
        <v>0.97</v>
      </c>
      <c r="AJ618" s="333">
        <v>60</v>
      </c>
      <c r="AK618" s="334">
        <v>1</v>
      </c>
      <c r="AL618" s="334">
        <v>1.04</v>
      </c>
      <c r="AM618" s="335">
        <v>1.05</v>
      </c>
      <c r="AN618" s="334">
        <v>1.05</v>
      </c>
      <c r="AO618" s="334">
        <v>1.03</v>
      </c>
      <c r="AQ618" s="333">
        <v>60</v>
      </c>
      <c r="AR618" s="334">
        <v>1</v>
      </c>
      <c r="AS618" s="334">
        <v>1.06</v>
      </c>
      <c r="AT618" s="335">
        <v>1.1000000000000001</v>
      </c>
      <c r="AU618" s="334">
        <v>1.1200000000000001</v>
      </c>
      <c r="AV618" s="334">
        <v>1.1100000000000001</v>
      </c>
      <c r="AX618" s="333">
        <v>60</v>
      </c>
      <c r="AY618" s="334">
        <v>1</v>
      </c>
      <c r="AZ618" s="334">
        <v>1.08</v>
      </c>
      <c r="BA618" s="335">
        <v>1.1200000000000001</v>
      </c>
      <c r="BB618" s="334">
        <v>1.1499999999999999</v>
      </c>
      <c r="BC618" s="334">
        <v>1.1499999999999999</v>
      </c>
      <c r="BE618" s="333">
        <v>60</v>
      </c>
      <c r="BF618" s="334">
        <v>1</v>
      </c>
      <c r="BG618" s="334">
        <v>1.07</v>
      </c>
      <c r="BH618" s="335">
        <v>1.1100000000000001</v>
      </c>
      <c r="BI618" s="334">
        <v>1.1399999999999999</v>
      </c>
      <c r="BJ618" s="334">
        <v>1.1299999999999999</v>
      </c>
      <c r="BL618" s="333">
        <v>60</v>
      </c>
      <c r="BM618" s="334">
        <v>1</v>
      </c>
      <c r="BN618" s="334">
        <v>1.05</v>
      </c>
      <c r="BO618" s="335">
        <v>1.08</v>
      </c>
      <c r="BP618" s="334">
        <v>1.0900000000000001</v>
      </c>
      <c r="BQ618" s="334">
        <v>1.08</v>
      </c>
      <c r="BS618" s="333">
        <v>60</v>
      </c>
      <c r="BT618" s="334">
        <v>1</v>
      </c>
      <c r="BU618" s="334">
        <v>1.03</v>
      </c>
      <c r="BV618" s="335">
        <v>1.03</v>
      </c>
      <c r="BW618" s="334">
        <v>1.02</v>
      </c>
      <c r="BX618" s="334">
        <v>0.99</v>
      </c>
      <c r="BZ618" s="333">
        <v>60</v>
      </c>
      <c r="CA618" s="334">
        <v>1</v>
      </c>
      <c r="CB618" s="334">
        <v>1</v>
      </c>
      <c r="CC618" s="335">
        <v>0.98</v>
      </c>
      <c r="CD618" s="334">
        <v>0.95</v>
      </c>
      <c r="CE618" s="334">
        <v>0.9</v>
      </c>
      <c r="CG618" s="333">
        <v>60</v>
      </c>
      <c r="CH618" s="334">
        <v>1</v>
      </c>
      <c r="CI618" s="334">
        <v>0.99</v>
      </c>
      <c r="CJ618" s="335">
        <v>0.96</v>
      </c>
      <c r="CK618" s="334">
        <v>0.92</v>
      </c>
      <c r="CL618" s="334">
        <v>0.87</v>
      </c>
      <c r="CN618" s="333">
        <v>60</v>
      </c>
      <c r="CO618" s="334">
        <v>1</v>
      </c>
      <c r="CP618" s="334">
        <v>0.98</v>
      </c>
      <c r="CQ618" s="335">
        <v>0.95</v>
      </c>
      <c r="CR618" s="334">
        <v>0.91</v>
      </c>
      <c r="CS618" s="334">
        <v>0.85</v>
      </c>
    </row>
    <row r="619" spans="3:98" x14ac:dyDescent="0.25">
      <c r="C619" s="333">
        <v>160</v>
      </c>
      <c r="D619" s="334">
        <v>0.95</v>
      </c>
      <c r="E619" s="334">
        <v>0.92</v>
      </c>
      <c r="F619" s="335">
        <v>0.87</v>
      </c>
      <c r="G619" s="334">
        <v>0.79</v>
      </c>
      <c r="H619" s="334">
        <v>0.71</v>
      </c>
      <c r="I619" s="334">
        <v>0.61</v>
      </c>
      <c r="J619" s="334">
        <v>0.52</v>
      </c>
      <c r="K619" s="334">
        <v>0.45</v>
      </c>
      <c r="L619" s="334">
        <v>0.38</v>
      </c>
      <c r="M619" s="334">
        <v>0.33</v>
      </c>
      <c r="O619" s="333">
        <v>70</v>
      </c>
      <c r="P619" s="334">
        <v>1</v>
      </c>
      <c r="Q619" s="334">
        <v>1</v>
      </c>
      <c r="R619" s="335">
        <v>0.98</v>
      </c>
      <c r="S619" s="334">
        <v>0.94</v>
      </c>
      <c r="T619" s="334">
        <v>0.9</v>
      </c>
      <c r="V619" s="333">
        <v>70</v>
      </c>
      <c r="W619" s="334">
        <v>1</v>
      </c>
      <c r="X619" s="334">
        <v>1</v>
      </c>
      <c r="Y619" s="335">
        <v>1</v>
      </c>
      <c r="Z619" s="334">
        <v>0.97</v>
      </c>
      <c r="AA619" s="334">
        <v>0.93</v>
      </c>
      <c r="AC619" s="333">
        <v>70</v>
      </c>
      <c r="AD619" s="334">
        <v>1</v>
      </c>
      <c r="AE619" s="334">
        <v>1.01</v>
      </c>
      <c r="AF619" s="335">
        <v>1.01</v>
      </c>
      <c r="AG619" s="334">
        <v>1</v>
      </c>
      <c r="AH619" s="334">
        <v>0.96</v>
      </c>
      <c r="AJ619" s="333">
        <v>70</v>
      </c>
      <c r="AK619" s="334">
        <v>1</v>
      </c>
      <c r="AL619" s="334">
        <v>1.03</v>
      </c>
      <c r="AM619" s="335">
        <v>1.03</v>
      </c>
      <c r="AN619" s="334">
        <v>1.03</v>
      </c>
      <c r="AO619" s="334">
        <v>1</v>
      </c>
      <c r="AQ619" s="333">
        <v>70</v>
      </c>
      <c r="AR619" s="334">
        <v>1</v>
      </c>
      <c r="AS619" s="334">
        <v>1.04</v>
      </c>
      <c r="AT619" s="335">
        <v>1.07</v>
      </c>
      <c r="AU619" s="334">
        <v>1.07</v>
      </c>
      <c r="AV619" s="334">
        <v>1.06</v>
      </c>
      <c r="AX619" s="333">
        <v>70</v>
      </c>
      <c r="AY619" s="334">
        <v>1</v>
      </c>
      <c r="AZ619" s="334">
        <v>1.05</v>
      </c>
      <c r="BA619" s="335">
        <v>1.08</v>
      </c>
      <c r="BB619" s="334">
        <v>1.0900000000000001</v>
      </c>
      <c r="BC619" s="334">
        <v>1.08</v>
      </c>
      <c r="BE619" s="333">
        <v>70</v>
      </c>
      <c r="BF619" s="334">
        <v>1</v>
      </c>
      <c r="BG619" s="334">
        <v>1.05</v>
      </c>
      <c r="BH619" s="335">
        <v>1.08</v>
      </c>
      <c r="BI619" s="334">
        <v>1.0900000000000001</v>
      </c>
      <c r="BJ619" s="334">
        <v>1.07</v>
      </c>
      <c r="BL619" s="333">
        <v>70</v>
      </c>
      <c r="BM619" s="334">
        <v>1</v>
      </c>
      <c r="BN619" s="334">
        <v>1.04</v>
      </c>
      <c r="BO619" s="335">
        <v>1.05</v>
      </c>
      <c r="BP619" s="334">
        <v>1.05</v>
      </c>
      <c r="BQ619" s="334">
        <v>1.03</v>
      </c>
      <c r="BS619" s="333">
        <v>70</v>
      </c>
      <c r="BT619" s="334">
        <v>1</v>
      </c>
      <c r="BU619" s="334">
        <v>1.02</v>
      </c>
      <c r="BV619" s="335">
        <v>1.02</v>
      </c>
      <c r="BW619" s="334">
        <v>1</v>
      </c>
      <c r="BX619" s="334">
        <v>0.97</v>
      </c>
      <c r="BZ619" s="333">
        <v>70</v>
      </c>
      <c r="CA619" s="334">
        <v>1</v>
      </c>
      <c r="CB619" s="334">
        <v>1</v>
      </c>
      <c r="CC619" s="335">
        <v>0.98</v>
      </c>
      <c r="CD619" s="334">
        <v>0.95</v>
      </c>
      <c r="CE619" s="334">
        <v>0.9</v>
      </c>
      <c r="CG619" s="333">
        <v>70</v>
      </c>
      <c r="CH619" s="334">
        <v>1</v>
      </c>
      <c r="CI619" s="334">
        <v>1</v>
      </c>
      <c r="CJ619" s="335">
        <v>0.97</v>
      </c>
      <c r="CK619" s="334">
        <v>0.93</v>
      </c>
      <c r="CL619" s="334">
        <v>0.88</v>
      </c>
      <c r="CN619" s="333">
        <v>70</v>
      </c>
      <c r="CO619" s="334">
        <v>1</v>
      </c>
      <c r="CP619" s="334">
        <v>0.99</v>
      </c>
      <c r="CQ619" s="335">
        <v>0.96</v>
      </c>
      <c r="CR619" s="334">
        <v>0.92</v>
      </c>
      <c r="CS619" s="334">
        <v>0.87</v>
      </c>
    </row>
    <row r="620" spans="3:98" x14ac:dyDescent="0.25">
      <c r="C620" s="333">
        <v>170</v>
      </c>
      <c r="D620" s="334">
        <v>0.95</v>
      </c>
      <c r="E620" s="334">
        <v>0.92</v>
      </c>
      <c r="F620" s="335">
        <v>0.87</v>
      </c>
      <c r="G620" s="334">
        <v>0.79</v>
      </c>
      <c r="H620" s="334">
        <v>0.7</v>
      </c>
      <c r="I620" s="334">
        <v>0.6</v>
      </c>
      <c r="J620" s="334">
        <v>0.51</v>
      </c>
      <c r="K620" s="334">
        <v>0.44</v>
      </c>
      <c r="L620" s="334">
        <v>0.37</v>
      </c>
      <c r="M620" s="334">
        <v>0.31</v>
      </c>
      <c r="O620" s="333">
        <v>80</v>
      </c>
      <c r="P620" s="334">
        <v>1</v>
      </c>
      <c r="Q620" s="334">
        <v>1</v>
      </c>
      <c r="R620" s="335">
        <v>0.99</v>
      </c>
      <c r="S620" s="334">
        <v>0.96</v>
      </c>
      <c r="T620" s="334">
        <v>0.91</v>
      </c>
      <c r="V620" s="333">
        <v>80</v>
      </c>
      <c r="W620" s="334">
        <v>1</v>
      </c>
      <c r="X620" s="334">
        <v>1.01</v>
      </c>
      <c r="Y620" s="335">
        <v>1</v>
      </c>
      <c r="Z620" s="334">
        <v>0.98</v>
      </c>
      <c r="AA620" s="334">
        <v>0.93</v>
      </c>
      <c r="AC620" s="333">
        <v>80</v>
      </c>
      <c r="AD620" s="334">
        <v>1</v>
      </c>
      <c r="AE620" s="334">
        <v>1.01</v>
      </c>
      <c r="AF620" s="335">
        <v>1</v>
      </c>
      <c r="AG620" s="334">
        <v>0.99</v>
      </c>
      <c r="AH620" s="334">
        <v>0.95</v>
      </c>
      <c r="AJ620" s="333">
        <v>80</v>
      </c>
      <c r="AK620" s="334">
        <v>1</v>
      </c>
      <c r="AL620" s="334">
        <v>1.02</v>
      </c>
      <c r="AM620" s="335">
        <v>1.01</v>
      </c>
      <c r="AN620" s="334">
        <v>0.99</v>
      </c>
      <c r="AO620" s="334">
        <v>0.97</v>
      </c>
      <c r="AQ620" s="333">
        <v>80</v>
      </c>
      <c r="AR620" s="334">
        <v>1</v>
      </c>
      <c r="AS620" s="334">
        <v>1.02</v>
      </c>
      <c r="AT620" s="335">
        <v>1.03</v>
      </c>
      <c r="AU620" s="334">
        <v>1.02</v>
      </c>
      <c r="AV620" s="334">
        <v>1</v>
      </c>
      <c r="AX620" s="333">
        <v>80</v>
      </c>
      <c r="AY620" s="334">
        <v>1</v>
      </c>
      <c r="AZ620" s="334">
        <v>1.03</v>
      </c>
      <c r="BA620" s="335">
        <v>1.04</v>
      </c>
      <c r="BB620" s="334">
        <v>1.03</v>
      </c>
      <c r="BC620" s="334">
        <v>1.02</v>
      </c>
      <c r="BE620" s="333">
        <v>80</v>
      </c>
      <c r="BF620" s="334">
        <v>1</v>
      </c>
      <c r="BG620" s="334">
        <v>1.03</v>
      </c>
      <c r="BH620" s="335">
        <v>1.03</v>
      </c>
      <c r="BI620" s="334">
        <v>1.03</v>
      </c>
      <c r="BJ620" s="334">
        <v>1.01</v>
      </c>
      <c r="BL620" s="333">
        <v>80</v>
      </c>
      <c r="BM620" s="334">
        <v>1</v>
      </c>
      <c r="BN620" s="334">
        <v>1.02</v>
      </c>
      <c r="BO620" s="335">
        <v>1.02</v>
      </c>
      <c r="BP620" s="334">
        <v>1.01</v>
      </c>
      <c r="BQ620" s="334">
        <v>0.98</v>
      </c>
      <c r="BS620" s="333">
        <v>80</v>
      </c>
      <c r="BT620" s="334">
        <v>1</v>
      </c>
      <c r="BU620" s="334">
        <v>1.01</v>
      </c>
      <c r="BV620" s="335">
        <v>1</v>
      </c>
      <c r="BW620" s="334">
        <v>0.98</v>
      </c>
      <c r="BX620" s="334">
        <v>0.94</v>
      </c>
      <c r="BZ620" s="333">
        <v>80</v>
      </c>
      <c r="CA620" s="334">
        <v>1</v>
      </c>
      <c r="CB620" s="334">
        <v>1</v>
      </c>
      <c r="CC620" s="335">
        <v>0.98</v>
      </c>
      <c r="CD620" s="334">
        <v>0.94</v>
      </c>
      <c r="CE620" s="334">
        <v>0.9</v>
      </c>
      <c r="CG620" s="333">
        <v>80</v>
      </c>
      <c r="CH620" s="334">
        <v>1</v>
      </c>
      <c r="CI620" s="334">
        <v>1</v>
      </c>
      <c r="CJ620" s="335">
        <v>0.98</v>
      </c>
      <c r="CK620" s="334">
        <v>0.94</v>
      </c>
      <c r="CL620" s="334">
        <v>0.89</v>
      </c>
      <c r="CN620" s="333">
        <v>80</v>
      </c>
      <c r="CO620" s="334">
        <v>1</v>
      </c>
      <c r="CP620" s="334">
        <v>1</v>
      </c>
      <c r="CQ620" s="335">
        <v>0.98</v>
      </c>
      <c r="CR620" s="334">
        <v>0.94</v>
      </c>
      <c r="CS620" s="334">
        <v>0.89</v>
      </c>
    </row>
    <row r="621" spans="3:98" x14ac:dyDescent="0.25">
      <c r="C621" s="333">
        <v>180</v>
      </c>
      <c r="D621" s="334">
        <v>0.95</v>
      </c>
      <c r="E621" s="334">
        <v>0.92</v>
      </c>
      <c r="F621" s="335">
        <v>0.86</v>
      </c>
      <c r="G621" s="334">
        <v>0.79</v>
      </c>
      <c r="H621" s="334">
        <v>0.69</v>
      </c>
      <c r="I621" s="334">
        <v>0.6</v>
      </c>
      <c r="J621" s="334">
        <v>0.51</v>
      </c>
      <c r="K621" s="334">
        <v>0.43</v>
      </c>
      <c r="L621" s="334">
        <v>0.36</v>
      </c>
      <c r="M621" s="334">
        <v>0.31</v>
      </c>
      <c r="O621" s="333">
        <v>90</v>
      </c>
      <c r="P621" s="334">
        <v>1</v>
      </c>
      <c r="Q621" s="334">
        <v>1.01</v>
      </c>
      <c r="R621" s="335">
        <v>1</v>
      </c>
      <c r="S621" s="334">
        <v>0.97</v>
      </c>
      <c r="T621" s="334">
        <v>0.93</v>
      </c>
      <c r="V621" s="333">
        <v>90</v>
      </c>
      <c r="W621" s="334">
        <v>1</v>
      </c>
      <c r="X621" s="334">
        <v>1.01</v>
      </c>
      <c r="Y621" s="335">
        <v>1</v>
      </c>
      <c r="Z621" s="334">
        <v>0.98</v>
      </c>
      <c r="AA621" s="334">
        <v>0.94</v>
      </c>
      <c r="AC621" s="333">
        <v>90</v>
      </c>
      <c r="AD621" s="334">
        <v>1</v>
      </c>
      <c r="AE621" s="334">
        <v>1</v>
      </c>
      <c r="AF621" s="335">
        <v>0.99</v>
      </c>
      <c r="AG621" s="334">
        <v>0.97</v>
      </c>
      <c r="AH621" s="334">
        <v>0.93</v>
      </c>
      <c r="AJ621" s="333">
        <v>90</v>
      </c>
      <c r="AK621" s="334">
        <v>1</v>
      </c>
      <c r="AL621" s="334">
        <v>1.01</v>
      </c>
      <c r="AM621" s="335">
        <v>0.99</v>
      </c>
      <c r="AN621" s="334">
        <v>0.96</v>
      </c>
      <c r="AO621" s="334">
        <v>0.92</v>
      </c>
      <c r="AQ621" s="333">
        <v>90</v>
      </c>
      <c r="AR621" s="334">
        <v>1</v>
      </c>
      <c r="AS621" s="334">
        <v>1.01</v>
      </c>
      <c r="AT621" s="335">
        <v>0.99</v>
      </c>
      <c r="AU621" s="334">
        <v>0.97</v>
      </c>
      <c r="AV621" s="334">
        <v>0.94</v>
      </c>
      <c r="AX621" s="333">
        <v>90</v>
      </c>
      <c r="AY621" s="334">
        <v>1</v>
      </c>
      <c r="AZ621" s="334">
        <v>1.01</v>
      </c>
      <c r="BA621" s="335">
        <v>1</v>
      </c>
      <c r="BB621" s="334">
        <v>0.97</v>
      </c>
      <c r="BC621" s="334">
        <v>0.94</v>
      </c>
      <c r="BE621" s="333">
        <v>90</v>
      </c>
      <c r="BF621" s="334">
        <v>1</v>
      </c>
      <c r="BG621" s="334">
        <v>1.01</v>
      </c>
      <c r="BH621" s="335">
        <v>0.99</v>
      </c>
      <c r="BI621" s="334">
        <v>0.97</v>
      </c>
      <c r="BJ621" s="334">
        <v>0.94</v>
      </c>
      <c r="BL621" s="333">
        <v>90</v>
      </c>
      <c r="BM621" s="334">
        <v>1</v>
      </c>
      <c r="BN621" s="334">
        <v>1</v>
      </c>
      <c r="BO621" s="335">
        <v>0.99</v>
      </c>
      <c r="BP621" s="334">
        <v>0.96</v>
      </c>
      <c r="BQ621" s="334">
        <v>0.93</v>
      </c>
      <c r="BS621" s="333">
        <v>90</v>
      </c>
      <c r="BT621" s="334">
        <v>1</v>
      </c>
      <c r="BU621" s="334">
        <v>1</v>
      </c>
      <c r="BV621" s="335">
        <v>0.98</v>
      </c>
      <c r="BW621" s="334">
        <v>0.95</v>
      </c>
      <c r="BX621" s="334">
        <v>0.91</v>
      </c>
      <c r="BZ621" s="333">
        <v>90</v>
      </c>
      <c r="CA621" s="334">
        <v>1</v>
      </c>
      <c r="CB621" s="334">
        <v>1</v>
      </c>
      <c r="CC621" s="335">
        <v>0.98</v>
      </c>
      <c r="CD621" s="334">
        <v>0.94</v>
      </c>
      <c r="CE621" s="334">
        <v>0.9</v>
      </c>
      <c r="CG621" s="333">
        <v>90</v>
      </c>
      <c r="CH621" s="334">
        <v>1</v>
      </c>
      <c r="CI621" s="334">
        <v>1</v>
      </c>
      <c r="CJ621" s="335">
        <v>0.98</v>
      </c>
      <c r="CK621" s="334">
        <v>0.95</v>
      </c>
      <c r="CL621" s="334">
        <v>0.91</v>
      </c>
      <c r="CN621" s="333">
        <v>90</v>
      </c>
      <c r="CO621" s="334">
        <v>1</v>
      </c>
      <c r="CP621" s="334">
        <v>1</v>
      </c>
      <c r="CQ621" s="335">
        <v>0.99</v>
      </c>
      <c r="CR621" s="334">
        <v>0.96</v>
      </c>
      <c r="CS621" s="334">
        <v>0.91</v>
      </c>
    </row>
    <row r="622" spans="3:98" x14ac:dyDescent="0.25">
      <c r="C622" s="333">
        <v>190</v>
      </c>
      <c r="D622" s="334">
        <v>0.95</v>
      </c>
      <c r="E622" s="334">
        <v>0.92</v>
      </c>
      <c r="F622" s="335">
        <v>0.87</v>
      </c>
      <c r="G622" s="334">
        <v>0.79</v>
      </c>
      <c r="H622" s="334">
        <v>0.7</v>
      </c>
      <c r="I622" s="334">
        <v>0.6</v>
      </c>
      <c r="J622" s="334">
        <v>0.51</v>
      </c>
      <c r="K622" s="334">
        <v>0.44</v>
      </c>
      <c r="L622" s="334">
        <v>0.37</v>
      </c>
      <c r="M622" s="334">
        <v>0.31</v>
      </c>
      <c r="P622" s="288"/>
      <c r="Q622" s="288"/>
      <c r="R622" s="288"/>
      <c r="S622" s="288"/>
      <c r="T622" s="288"/>
      <c r="U622" s="288"/>
      <c r="V622" s="288"/>
      <c r="W622" s="288"/>
      <c r="X622" s="288"/>
      <c r="Y622" s="288"/>
      <c r="Z622" s="288"/>
      <c r="AA622" s="288"/>
      <c r="AB622" s="288"/>
      <c r="AC622" s="288"/>
      <c r="AD622" s="288"/>
      <c r="AE622" s="288"/>
      <c r="AF622" s="288"/>
      <c r="AG622" s="288"/>
      <c r="AH622" s="288"/>
      <c r="AI622" s="288"/>
      <c r="AJ622" s="288"/>
      <c r="AK622" s="288"/>
      <c r="AL622" s="288"/>
      <c r="AM622" s="288"/>
      <c r="AN622" s="288"/>
      <c r="AO622" s="288"/>
      <c r="AP622" s="288"/>
      <c r="AQ622" s="288"/>
      <c r="AR622" s="288"/>
      <c r="AS622" s="288"/>
      <c r="AT622" s="288"/>
      <c r="AU622" s="288"/>
      <c r="AV622" s="288"/>
      <c r="AW622" s="288"/>
      <c r="AX622" s="288"/>
      <c r="AY622" s="288"/>
      <c r="AZ622" s="288"/>
      <c r="BA622" s="288"/>
      <c r="BB622" s="288"/>
      <c r="BC622" s="288"/>
      <c r="BD622" s="288"/>
      <c r="BE622" s="288"/>
      <c r="BF622" s="288"/>
      <c r="BG622" s="288"/>
      <c r="BH622" s="288"/>
      <c r="BI622" s="288"/>
      <c r="BJ622" s="288"/>
      <c r="BK622" s="288"/>
      <c r="BL622" s="288"/>
      <c r="BM622" s="288"/>
      <c r="BN622" s="288"/>
      <c r="BO622" s="288"/>
      <c r="BP622" s="288"/>
      <c r="BQ622" s="288"/>
      <c r="BR622" s="288"/>
      <c r="BS622" s="288"/>
      <c r="BT622" s="288"/>
      <c r="BU622" s="288"/>
      <c r="BV622" s="288"/>
      <c r="BW622" s="288"/>
      <c r="BX622" s="288"/>
      <c r="BY622" s="288"/>
      <c r="BZ622" s="288"/>
      <c r="CA622" s="288"/>
      <c r="CB622" s="288"/>
      <c r="CC622" s="288"/>
      <c r="CD622" s="288"/>
      <c r="CE622" s="288"/>
      <c r="CF622" s="288"/>
      <c r="CG622" s="288"/>
      <c r="CH622" s="288"/>
      <c r="CI622" s="288"/>
      <c r="CJ622" s="288"/>
      <c r="CK622" s="288"/>
      <c r="CL622" s="288"/>
      <c r="CM622" s="288"/>
      <c r="CN622" s="288"/>
      <c r="CO622" s="288"/>
      <c r="CP622" s="288"/>
      <c r="CQ622" s="288"/>
      <c r="CR622" s="288"/>
      <c r="CS622" s="288"/>
      <c r="CT622" s="288"/>
    </row>
    <row r="623" spans="3:98" x14ac:dyDescent="0.25">
      <c r="C623" s="333">
        <v>200</v>
      </c>
      <c r="D623" s="334">
        <v>0.95</v>
      </c>
      <c r="E623" s="334">
        <v>0.92</v>
      </c>
      <c r="F623" s="335">
        <v>0.87</v>
      </c>
      <c r="G623" s="334">
        <v>0.8</v>
      </c>
      <c r="H623" s="334">
        <v>0.71</v>
      </c>
      <c r="I623" s="334">
        <v>0.62</v>
      </c>
      <c r="J623" s="334">
        <v>0.53</v>
      </c>
      <c r="K623" s="334">
        <v>0.45</v>
      </c>
      <c r="L623" s="334">
        <v>0.38</v>
      </c>
      <c r="M623" s="334">
        <v>0.33</v>
      </c>
      <c r="P623" s="288"/>
      <c r="Q623" s="288"/>
      <c r="R623" s="288"/>
      <c r="S623" s="288"/>
      <c r="T623" s="288"/>
      <c r="U623" s="288"/>
      <c r="W623" s="288"/>
      <c r="X623" s="288"/>
      <c r="Y623" s="288"/>
      <c r="Z623" s="288"/>
      <c r="AA623" s="288"/>
      <c r="AB623" s="288"/>
      <c r="AD623" s="288"/>
      <c r="AE623" s="288"/>
      <c r="AF623" s="288"/>
      <c r="AG623" s="288"/>
      <c r="AH623" s="288"/>
      <c r="AI623" s="288"/>
      <c r="AJ623" s="288"/>
      <c r="AK623" s="288"/>
      <c r="AL623" s="288"/>
      <c r="AM623" s="288"/>
      <c r="AN623" s="288"/>
      <c r="AO623" s="288"/>
      <c r="AP623" s="288"/>
      <c r="AQ623" s="288"/>
      <c r="AR623" s="288"/>
      <c r="AS623" s="288"/>
      <c r="AT623" s="288"/>
      <c r="AU623" s="288"/>
      <c r="AV623" s="288"/>
      <c r="AW623" s="288"/>
      <c r="AX623" s="288"/>
      <c r="AY623" s="288"/>
      <c r="AZ623" s="288"/>
      <c r="BA623" s="288"/>
      <c r="BB623" s="288"/>
      <c r="BC623" s="288"/>
      <c r="BD623" s="288"/>
      <c r="BE623" s="288"/>
      <c r="BF623" s="288"/>
      <c r="BG623" s="288"/>
      <c r="BH623" s="288"/>
      <c r="BI623" s="288"/>
      <c r="BJ623" s="288"/>
      <c r="BK623" s="288"/>
      <c r="BL623" s="288"/>
      <c r="BM623" s="288"/>
      <c r="BN623" s="288"/>
      <c r="BO623" s="288"/>
      <c r="BP623" s="288"/>
      <c r="BQ623" s="288"/>
      <c r="BR623" s="288"/>
      <c r="BS623" s="288"/>
      <c r="BT623" s="288"/>
      <c r="BU623" s="288"/>
      <c r="BV623" s="288"/>
      <c r="BW623" s="288"/>
      <c r="BX623" s="288"/>
      <c r="BY623" s="288"/>
      <c r="BZ623" s="288"/>
      <c r="CA623" s="288"/>
      <c r="CB623" s="288"/>
      <c r="CC623" s="288"/>
      <c r="CD623" s="288"/>
      <c r="CE623" s="288"/>
      <c r="CF623" s="288"/>
      <c r="CG623" s="288"/>
      <c r="CH623" s="288"/>
      <c r="CI623" s="288"/>
      <c r="CJ623" s="288"/>
      <c r="CK623" s="288"/>
      <c r="CL623" s="288"/>
      <c r="CM623" s="288"/>
      <c r="CN623" s="288"/>
      <c r="CO623" s="288"/>
      <c r="CP623" s="288"/>
      <c r="CQ623" s="288"/>
      <c r="CR623" s="288"/>
      <c r="CS623" s="288"/>
      <c r="CT623" s="288"/>
    </row>
    <row r="624" spans="3:98" x14ac:dyDescent="0.25">
      <c r="C624" s="333">
        <v>210</v>
      </c>
      <c r="D624" s="334">
        <v>0.95</v>
      </c>
      <c r="E624" s="334">
        <v>0.92</v>
      </c>
      <c r="F624" s="335">
        <v>0.88</v>
      </c>
      <c r="G624" s="334">
        <v>0.81</v>
      </c>
      <c r="H624" s="334">
        <v>0.73</v>
      </c>
      <c r="I624" s="334">
        <v>0.64</v>
      </c>
      <c r="J624" s="334">
        <v>0.55000000000000004</v>
      </c>
      <c r="K624" s="334">
        <v>0.48</v>
      </c>
      <c r="L624" s="334">
        <v>0.41</v>
      </c>
      <c r="M624" s="334">
        <v>0.36</v>
      </c>
      <c r="P624" s="288"/>
      <c r="Q624" s="288"/>
      <c r="R624" s="288"/>
      <c r="S624" s="288"/>
      <c r="T624" s="288"/>
      <c r="U624" s="288"/>
      <c r="W624" s="288"/>
      <c r="X624" s="288"/>
      <c r="Y624" s="288"/>
      <c r="Z624" s="288"/>
      <c r="AA624" s="288"/>
      <c r="AB624" s="288"/>
      <c r="AD624" s="288"/>
      <c r="AE624" s="288"/>
      <c r="AF624" s="288"/>
      <c r="AG624" s="288"/>
      <c r="AH624" s="288"/>
      <c r="AI624" s="288"/>
      <c r="AJ624" s="288"/>
      <c r="AK624" s="288"/>
      <c r="AL624" s="288"/>
      <c r="AM624" s="288"/>
      <c r="AN624" s="288"/>
      <c r="AO624" s="288"/>
      <c r="AP624" s="288"/>
      <c r="AQ624" s="288"/>
      <c r="AR624" s="288"/>
      <c r="AS624" s="288"/>
      <c r="AT624" s="288"/>
      <c r="AU624" s="288"/>
      <c r="AV624" s="288"/>
      <c r="AW624" s="288"/>
      <c r="AX624" s="288"/>
      <c r="AY624" s="288"/>
      <c r="AZ624" s="288"/>
      <c r="BA624" s="288"/>
      <c r="BB624" s="288"/>
      <c r="BC624" s="288"/>
      <c r="BD624" s="288"/>
      <c r="BE624" s="288"/>
      <c r="BF624" s="288"/>
      <c r="BG624" s="288"/>
      <c r="BH624" s="288"/>
      <c r="BI624" s="288"/>
      <c r="BJ624" s="288"/>
      <c r="BK624" s="288"/>
      <c r="BL624" s="288"/>
      <c r="BM624" s="288"/>
      <c r="BN624" s="288"/>
      <c r="BO624" s="288"/>
      <c r="BP624" s="288"/>
      <c r="BQ624" s="288"/>
      <c r="BR624" s="288"/>
      <c r="BS624" s="288"/>
      <c r="BT624" s="288"/>
      <c r="BU624" s="288"/>
      <c r="BV624" s="288"/>
      <c r="BW624" s="288"/>
      <c r="BX624" s="288"/>
      <c r="BY624" s="288"/>
      <c r="BZ624" s="288"/>
      <c r="CA624" s="288"/>
      <c r="CB624" s="288"/>
      <c r="CC624" s="288"/>
      <c r="CD624" s="288"/>
      <c r="CE624" s="288"/>
      <c r="CF624" s="288"/>
      <c r="CG624" s="288"/>
      <c r="CH624" s="288"/>
      <c r="CI624" s="288"/>
      <c r="CJ624" s="288"/>
      <c r="CK624" s="288"/>
      <c r="CL624" s="288"/>
      <c r="CM624" s="288"/>
      <c r="CN624" s="288"/>
      <c r="CO624" s="288"/>
      <c r="CP624" s="288"/>
      <c r="CQ624" s="288"/>
      <c r="CR624" s="288"/>
      <c r="CS624" s="288"/>
      <c r="CT624" s="288"/>
    </row>
    <row r="625" spans="3:98" x14ac:dyDescent="0.25">
      <c r="C625" s="333">
        <v>220</v>
      </c>
      <c r="D625" s="334">
        <v>0.95</v>
      </c>
      <c r="E625" s="334">
        <v>0.93</v>
      </c>
      <c r="F625" s="335">
        <v>0.88</v>
      </c>
      <c r="G625" s="334">
        <v>0.82</v>
      </c>
      <c r="H625" s="334">
        <v>0.75</v>
      </c>
      <c r="I625" s="334">
        <v>0.67</v>
      </c>
      <c r="J625" s="334">
        <v>0.59</v>
      </c>
      <c r="K625" s="334">
        <v>0.51</v>
      </c>
      <c r="L625" s="334">
        <v>0.45</v>
      </c>
      <c r="M625" s="334">
        <v>0.39</v>
      </c>
      <c r="P625" s="288"/>
      <c r="Q625" s="288"/>
      <c r="R625" s="288"/>
      <c r="S625" s="288"/>
      <c r="T625" s="288"/>
      <c r="U625" s="288"/>
      <c r="W625" s="288"/>
      <c r="X625" s="288"/>
      <c r="Y625" s="288"/>
      <c r="Z625" s="288"/>
      <c r="AA625" s="288"/>
      <c r="AB625" s="288"/>
      <c r="AD625" s="288"/>
      <c r="AE625" s="288"/>
      <c r="AF625" s="288"/>
      <c r="AG625" s="288"/>
      <c r="AH625" s="288"/>
      <c r="AI625" s="288"/>
      <c r="AJ625" s="288"/>
      <c r="AK625" s="288"/>
      <c r="AL625" s="288"/>
      <c r="AM625" s="288"/>
      <c r="AN625" s="288"/>
      <c r="AO625" s="288"/>
      <c r="AP625" s="288"/>
      <c r="AQ625" s="288"/>
      <c r="AR625" s="288"/>
      <c r="AS625" s="288"/>
      <c r="AT625" s="288"/>
      <c r="AU625" s="288"/>
      <c r="AV625" s="288"/>
      <c r="AW625" s="288"/>
      <c r="AX625" s="288"/>
      <c r="AY625" s="288"/>
      <c r="AZ625" s="288"/>
      <c r="BA625" s="288"/>
      <c r="BB625" s="288"/>
      <c r="BC625" s="288"/>
      <c r="BD625" s="288"/>
      <c r="BE625" s="288"/>
      <c r="BF625" s="288"/>
      <c r="BG625" s="288"/>
      <c r="BH625" s="288"/>
      <c r="BI625" s="288"/>
      <c r="BJ625" s="288"/>
      <c r="BK625" s="288"/>
      <c r="BL625" s="288"/>
      <c r="BM625" s="288"/>
      <c r="BN625" s="288"/>
      <c r="BO625" s="288"/>
      <c r="BP625" s="288"/>
      <c r="BQ625" s="288"/>
      <c r="BR625" s="288"/>
      <c r="BS625" s="288"/>
      <c r="BT625" s="288"/>
      <c r="BU625" s="288"/>
      <c r="BV625" s="288"/>
      <c r="BW625" s="288"/>
      <c r="BX625" s="288"/>
      <c r="BY625" s="288"/>
      <c r="BZ625" s="288"/>
      <c r="CA625" s="288"/>
      <c r="CB625" s="288"/>
      <c r="CC625" s="288"/>
      <c r="CD625" s="288"/>
      <c r="CE625" s="288"/>
      <c r="CF625" s="288"/>
      <c r="CG625" s="288"/>
      <c r="CH625" s="288"/>
      <c r="CI625" s="288"/>
      <c r="CJ625" s="288"/>
      <c r="CK625" s="288"/>
      <c r="CL625" s="288"/>
      <c r="CM625" s="288"/>
      <c r="CN625" s="288"/>
      <c r="CO625" s="288"/>
      <c r="CP625" s="288"/>
      <c r="CQ625" s="288"/>
      <c r="CR625" s="288"/>
      <c r="CS625" s="288"/>
      <c r="CT625" s="288"/>
    </row>
    <row r="626" spans="3:98" x14ac:dyDescent="0.25">
      <c r="C626" s="333">
        <v>230</v>
      </c>
      <c r="D626" s="334">
        <v>0.95</v>
      </c>
      <c r="E626" s="334">
        <v>0.93</v>
      </c>
      <c r="F626" s="335">
        <v>0.89</v>
      </c>
      <c r="G626" s="334">
        <v>0.83</v>
      </c>
      <c r="H626" s="334">
        <v>0.77</v>
      </c>
      <c r="I626" s="334">
        <v>0.69</v>
      </c>
      <c r="J626" s="334">
        <v>0.62</v>
      </c>
      <c r="K626" s="334">
        <v>0.55000000000000004</v>
      </c>
      <c r="L626" s="334">
        <v>0.48</v>
      </c>
      <c r="M626" s="334">
        <v>0.42</v>
      </c>
      <c r="P626" s="288"/>
      <c r="Q626" s="288"/>
      <c r="R626" s="288"/>
      <c r="S626" s="288"/>
      <c r="T626" s="288"/>
      <c r="U626" s="288"/>
      <c r="W626" s="288"/>
      <c r="X626" s="288"/>
      <c r="Y626" s="288"/>
      <c r="Z626" s="288"/>
      <c r="AA626" s="288"/>
      <c r="AB626" s="288"/>
      <c r="AD626" s="288"/>
      <c r="AE626" s="288"/>
      <c r="AF626" s="288"/>
      <c r="AG626" s="288"/>
      <c r="AH626" s="288"/>
      <c r="AI626" s="288"/>
      <c r="AJ626" s="288"/>
      <c r="AK626" s="288"/>
      <c r="AL626" s="288"/>
      <c r="AM626" s="288"/>
      <c r="AN626" s="288"/>
      <c r="AO626" s="288"/>
      <c r="AP626" s="288"/>
      <c r="AQ626" s="288"/>
      <c r="AR626" s="288"/>
      <c r="AS626" s="288"/>
      <c r="AT626" s="288"/>
      <c r="AU626" s="288"/>
      <c r="AV626" s="288"/>
      <c r="AW626" s="288"/>
      <c r="AX626" s="288"/>
      <c r="AY626" s="288"/>
      <c r="AZ626" s="288"/>
      <c r="BA626" s="288"/>
      <c r="BB626" s="288"/>
      <c r="BC626" s="288"/>
      <c r="BD626" s="288"/>
      <c r="BE626" s="288"/>
      <c r="BF626" s="288"/>
      <c r="BG626" s="288"/>
      <c r="BH626" s="288"/>
      <c r="BI626" s="288"/>
      <c r="BJ626" s="288"/>
      <c r="BK626" s="288"/>
      <c r="BL626" s="288"/>
      <c r="BM626" s="288"/>
      <c r="BN626" s="288"/>
      <c r="BO626" s="288"/>
      <c r="BP626" s="288"/>
      <c r="BQ626" s="288"/>
      <c r="BR626" s="288"/>
      <c r="BS626" s="288"/>
      <c r="BT626" s="288"/>
      <c r="BU626" s="288"/>
      <c r="BV626" s="288"/>
      <c r="BW626" s="288"/>
      <c r="BX626" s="288"/>
      <c r="BY626" s="288"/>
      <c r="BZ626" s="288"/>
      <c r="CA626" s="288"/>
      <c r="CB626" s="288"/>
      <c r="CC626" s="288"/>
      <c r="CD626" s="288"/>
      <c r="CE626" s="288"/>
      <c r="CF626" s="288"/>
      <c r="CG626" s="288"/>
      <c r="CH626" s="288"/>
      <c r="CI626" s="288"/>
      <c r="CJ626" s="288"/>
      <c r="CK626" s="288"/>
      <c r="CL626" s="288"/>
      <c r="CM626" s="288"/>
      <c r="CN626" s="288"/>
      <c r="CO626" s="288"/>
      <c r="CP626" s="288"/>
      <c r="CQ626" s="288"/>
      <c r="CR626" s="288"/>
      <c r="CS626" s="288"/>
      <c r="CT626" s="288"/>
    </row>
    <row r="627" spans="3:98" x14ac:dyDescent="0.25">
      <c r="C627" s="333">
        <v>240</v>
      </c>
      <c r="D627" s="334">
        <v>0.95</v>
      </c>
      <c r="E627" s="334">
        <v>0.94</v>
      </c>
      <c r="F627" s="335">
        <v>0.9</v>
      </c>
      <c r="G627" s="334">
        <v>0.85</v>
      </c>
      <c r="H627" s="334">
        <v>0.79</v>
      </c>
      <c r="I627" s="334">
        <v>0.73</v>
      </c>
      <c r="J627" s="334">
        <v>0.65</v>
      </c>
      <c r="K627" s="334">
        <v>0.59</v>
      </c>
      <c r="L627" s="334">
        <v>0.52</v>
      </c>
      <c r="M627" s="334">
        <v>0.46</v>
      </c>
      <c r="P627" s="288"/>
      <c r="Q627" s="288"/>
      <c r="R627" s="288"/>
      <c r="S627" s="288"/>
      <c r="T627" s="288"/>
      <c r="U627" s="288"/>
      <c r="W627" s="288"/>
      <c r="X627" s="288"/>
      <c r="Y627" s="288"/>
      <c r="Z627" s="288"/>
      <c r="AA627" s="288"/>
      <c r="AB627" s="288"/>
      <c r="AD627" s="288"/>
      <c r="AE627" s="288"/>
      <c r="AF627" s="288"/>
      <c r="AG627" s="288"/>
      <c r="AH627" s="288"/>
      <c r="AI627" s="288"/>
      <c r="AJ627" s="288"/>
      <c r="AK627" s="288"/>
      <c r="AL627" s="288"/>
      <c r="AM627" s="288"/>
      <c r="AN627" s="288"/>
      <c r="AO627" s="288"/>
      <c r="AP627" s="288"/>
      <c r="AQ627" s="288"/>
      <c r="AR627" s="288"/>
      <c r="AS627" s="288"/>
      <c r="AT627" s="288"/>
      <c r="AU627" s="288"/>
      <c r="AV627" s="288"/>
      <c r="AW627" s="288"/>
      <c r="AX627" s="288"/>
      <c r="AY627" s="288"/>
      <c r="AZ627" s="288"/>
      <c r="BA627" s="288"/>
      <c r="BB627" s="288"/>
      <c r="BC627" s="288"/>
      <c r="BD627" s="288"/>
      <c r="BE627" s="288"/>
      <c r="BF627" s="288"/>
      <c r="BG627" s="288"/>
      <c r="BH627" s="288"/>
      <c r="BI627" s="288"/>
      <c r="BJ627" s="288"/>
      <c r="BK627" s="288"/>
      <c r="BL627" s="288"/>
      <c r="BM627" s="288"/>
      <c r="BN627" s="288"/>
      <c r="BO627" s="288"/>
      <c r="BP627" s="288"/>
      <c r="BQ627" s="288"/>
      <c r="BR627" s="288"/>
      <c r="BS627" s="288"/>
      <c r="BT627" s="288"/>
      <c r="BU627" s="288"/>
      <c r="BV627" s="288"/>
      <c r="BW627" s="288"/>
      <c r="BX627" s="288"/>
      <c r="BY627" s="288"/>
      <c r="BZ627" s="288"/>
      <c r="CA627" s="288"/>
      <c r="CB627" s="288"/>
      <c r="CC627" s="288"/>
      <c r="CD627" s="288"/>
      <c r="CE627" s="288"/>
      <c r="CF627" s="288"/>
      <c r="CG627" s="288"/>
      <c r="CH627" s="288"/>
      <c r="CI627" s="288"/>
      <c r="CJ627" s="288"/>
      <c r="CK627" s="288"/>
      <c r="CL627" s="288"/>
      <c r="CM627" s="288"/>
      <c r="CN627" s="288"/>
      <c r="CO627" s="288"/>
      <c r="CP627" s="288"/>
      <c r="CQ627" s="288"/>
      <c r="CR627" s="288"/>
      <c r="CS627" s="288"/>
      <c r="CT627" s="288"/>
    </row>
    <row r="628" spans="3:98" x14ac:dyDescent="0.25">
      <c r="C628" s="333">
        <v>250</v>
      </c>
      <c r="D628" s="334">
        <v>0.95</v>
      </c>
      <c r="E628" s="334">
        <v>0.94</v>
      </c>
      <c r="F628" s="335">
        <v>0.91</v>
      </c>
      <c r="G628" s="334">
        <v>0.87</v>
      </c>
      <c r="H628" s="334">
        <v>0.81</v>
      </c>
      <c r="I628" s="334">
        <v>0.75</v>
      </c>
      <c r="J628" s="334">
        <v>0.69</v>
      </c>
      <c r="K628" s="334">
        <v>0.62</v>
      </c>
      <c r="L628" s="334">
        <v>0.55000000000000004</v>
      </c>
      <c r="M628" s="334">
        <v>0.49</v>
      </c>
      <c r="P628" s="288"/>
      <c r="Q628" s="288"/>
      <c r="R628" s="288"/>
      <c r="S628" s="288"/>
      <c r="T628" s="288"/>
      <c r="U628" s="288"/>
      <c r="W628" s="288"/>
      <c r="X628" s="288"/>
      <c r="Y628" s="288"/>
      <c r="Z628" s="288"/>
      <c r="AA628" s="288"/>
      <c r="AB628" s="288"/>
      <c r="AD628" s="288"/>
      <c r="AE628" s="288"/>
      <c r="AF628" s="288"/>
      <c r="AG628" s="288"/>
      <c r="AH628" s="288"/>
      <c r="AI628" s="288"/>
      <c r="AJ628" s="288"/>
      <c r="AK628" s="288"/>
      <c r="AL628" s="288"/>
      <c r="AM628" s="288"/>
      <c r="AN628" s="288"/>
      <c r="AO628" s="288"/>
      <c r="AP628" s="288"/>
      <c r="AQ628" s="288"/>
      <c r="AR628" s="288"/>
      <c r="AS628" s="288"/>
      <c r="AT628" s="288"/>
      <c r="AU628" s="288"/>
      <c r="AV628" s="288"/>
      <c r="AW628" s="288"/>
      <c r="AX628" s="288"/>
      <c r="AY628" s="288"/>
      <c r="AZ628" s="288"/>
      <c r="BA628" s="288"/>
      <c r="BB628" s="288"/>
      <c r="BC628" s="288"/>
      <c r="BD628" s="288"/>
      <c r="BE628" s="288"/>
      <c r="BF628" s="288"/>
      <c r="BG628" s="288"/>
      <c r="BH628" s="288"/>
      <c r="BI628" s="288"/>
      <c r="BJ628" s="288"/>
      <c r="BK628" s="288"/>
      <c r="BL628" s="288"/>
      <c r="BM628" s="288"/>
      <c r="BN628" s="288"/>
      <c r="BO628" s="288"/>
      <c r="BP628" s="288"/>
      <c r="BQ628" s="288"/>
      <c r="BR628" s="288"/>
      <c r="BS628" s="288"/>
      <c r="BT628" s="288"/>
      <c r="BU628" s="288"/>
      <c r="BV628" s="288"/>
      <c r="BW628" s="288"/>
      <c r="BX628" s="288"/>
      <c r="BY628" s="288"/>
      <c r="BZ628" s="288"/>
      <c r="CA628" s="288"/>
      <c r="CB628" s="288"/>
      <c r="CC628" s="288"/>
      <c r="CD628" s="288"/>
      <c r="CE628" s="288"/>
      <c r="CF628" s="288"/>
      <c r="CG628" s="288"/>
      <c r="CH628" s="288"/>
      <c r="CI628" s="288"/>
      <c r="CJ628" s="288"/>
      <c r="CK628" s="288"/>
      <c r="CL628" s="288"/>
      <c r="CM628" s="288"/>
      <c r="CN628" s="288"/>
      <c r="CO628" s="288"/>
      <c r="CP628" s="288"/>
      <c r="CQ628" s="288"/>
      <c r="CR628" s="288"/>
      <c r="CS628" s="288"/>
      <c r="CT628" s="288"/>
    </row>
    <row r="629" spans="3:98" x14ac:dyDescent="0.25">
      <c r="C629" s="333">
        <v>260</v>
      </c>
      <c r="D629" s="334">
        <v>0.95</v>
      </c>
      <c r="E629" s="334">
        <v>0.95</v>
      </c>
      <c r="F629" s="335">
        <v>0.93</v>
      </c>
      <c r="G629" s="334">
        <v>0.89</v>
      </c>
      <c r="H629" s="334">
        <v>0.84</v>
      </c>
      <c r="I629" s="334">
        <v>0.78</v>
      </c>
      <c r="J629" s="334">
        <v>0.72</v>
      </c>
      <c r="K629" s="334">
        <v>0.65</v>
      </c>
      <c r="L629" s="334">
        <v>0.57999999999999996</v>
      </c>
      <c r="M629" s="334">
        <v>0.51</v>
      </c>
      <c r="P629" s="288"/>
      <c r="Q629" s="288"/>
      <c r="R629" s="288"/>
      <c r="S629" s="288"/>
      <c r="T629" s="288"/>
      <c r="U629" s="288"/>
      <c r="W629" s="288"/>
      <c r="X629" s="288"/>
      <c r="Y629" s="288"/>
      <c r="Z629" s="288"/>
      <c r="AA629" s="288"/>
      <c r="AB629" s="288"/>
      <c r="AD629" s="288"/>
      <c r="AE629" s="288"/>
      <c r="AF629" s="288"/>
      <c r="AG629" s="288"/>
      <c r="AH629" s="288"/>
      <c r="AI629" s="288"/>
      <c r="AJ629" s="288"/>
      <c r="AK629" s="288"/>
      <c r="AL629" s="288"/>
      <c r="AM629" s="288"/>
      <c r="AN629" s="288"/>
      <c r="AO629" s="288"/>
      <c r="AP629" s="288"/>
      <c r="AQ629" s="288"/>
      <c r="AR629" s="288"/>
      <c r="AS629" s="288"/>
      <c r="AT629" s="288"/>
      <c r="AU629" s="288"/>
      <c r="AV629" s="288"/>
      <c r="AW629" s="288"/>
      <c r="AX629" s="288"/>
      <c r="AY629" s="288"/>
      <c r="AZ629" s="288"/>
      <c r="BA629" s="288"/>
      <c r="BB629" s="288"/>
      <c r="BC629" s="288"/>
      <c r="BD629" s="288"/>
      <c r="BE629" s="288"/>
      <c r="BF629" s="288"/>
      <c r="BG629" s="288"/>
      <c r="BH629" s="288"/>
      <c r="BI629" s="288"/>
      <c r="BJ629" s="288"/>
      <c r="BK629" s="288"/>
      <c r="BL629" s="288"/>
      <c r="BM629" s="288"/>
      <c r="BN629" s="288"/>
      <c r="BO629" s="288"/>
      <c r="BP629" s="288"/>
      <c r="BQ629" s="288"/>
      <c r="BR629" s="288"/>
      <c r="BS629" s="288"/>
      <c r="BT629" s="288"/>
      <c r="BU629" s="288"/>
      <c r="BV629" s="288"/>
      <c r="BW629" s="288"/>
      <c r="BX629" s="288"/>
      <c r="BY629" s="288"/>
      <c r="BZ629" s="288"/>
      <c r="CA629" s="288"/>
      <c r="CB629" s="288"/>
      <c r="CC629" s="288"/>
      <c r="CD629" s="288"/>
      <c r="CE629" s="288"/>
      <c r="CF629" s="288"/>
      <c r="CG629" s="288"/>
      <c r="CH629" s="288"/>
      <c r="CI629" s="288"/>
      <c r="CJ629" s="288"/>
      <c r="CK629" s="288"/>
      <c r="CL629" s="288"/>
      <c r="CM629" s="288"/>
      <c r="CN629" s="288"/>
      <c r="CO629" s="288"/>
      <c r="CP629" s="288"/>
      <c r="CQ629" s="288"/>
      <c r="CR629" s="288"/>
      <c r="CS629" s="288"/>
      <c r="CT629" s="288"/>
    </row>
    <row r="630" spans="3:98" x14ac:dyDescent="0.25">
      <c r="C630" s="333">
        <v>270</v>
      </c>
      <c r="D630" s="334">
        <v>0.95</v>
      </c>
      <c r="E630" s="334">
        <v>0.95</v>
      </c>
      <c r="F630" s="335">
        <v>0.94</v>
      </c>
      <c r="G630" s="334">
        <v>0.91</v>
      </c>
      <c r="H630" s="334">
        <v>0.86</v>
      </c>
      <c r="I630" s="334">
        <v>0.8</v>
      </c>
      <c r="J630" s="334">
        <v>0.74</v>
      </c>
      <c r="K630" s="334">
        <v>0.67</v>
      </c>
      <c r="L630" s="334">
        <v>0.61</v>
      </c>
      <c r="M630" s="334">
        <v>0.53</v>
      </c>
      <c r="P630" s="288"/>
      <c r="Q630" s="288"/>
      <c r="R630" s="288"/>
      <c r="S630" s="288"/>
      <c r="T630" s="288"/>
      <c r="U630" s="288"/>
      <c r="W630" s="288"/>
      <c r="X630" s="288"/>
      <c r="Y630" s="288"/>
      <c r="Z630" s="288"/>
      <c r="AA630" s="288"/>
      <c r="AB630" s="288"/>
      <c r="AD630" s="288"/>
      <c r="AE630" s="288"/>
      <c r="AF630" s="288"/>
      <c r="AG630" s="288"/>
      <c r="AH630" s="288"/>
      <c r="AI630" s="288"/>
      <c r="AJ630" s="288"/>
      <c r="AK630" s="288"/>
      <c r="AL630" s="288"/>
      <c r="AM630" s="288"/>
      <c r="AN630" s="288"/>
      <c r="AO630" s="288"/>
      <c r="AP630" s="288"/>
      <c r="AQ630" s="288"/>
      <c r="AR630" s="288"/>
      <c r="AS630" s="288"/>
      <c r="AT630" s="288"/>
      <c r="AU630" s="288"/>
      <c r="AV630" s="288"/>
      <c r="AW630" s="288"/>
      <c r="AX630" s="288"/>
      <c r="AY630" s="288"/>
      <c r="AZ630" s="288"/>
      <c r="BA630" s="288"/>
      <c r="BB630" s="288"/>
      <c r="BC630" s="288"/>
      <c r="BD630" s="288"/>
      <c r="BE630" s="288"/>
      <c r="BF630" s="288"/>
      <c r="BG630" s="288"/>
      <c r="BH630" s="288"/>
      <c r="BI630" s="288"/>
      <c r="BJ630" s="288"/>
      <c r="BK630" s="288"/>
      <c r="BL630" s="288"/>
      <c r="BM630" s="288"/>
      <c r="BN630" s="288"/>
      <c r="BO630" s="288"/>
      <c r="BP630" s="288"/>
      <c r="BQ630" s="288"/>
      <c r="BR630" s="288"/>
      <c r="BS630" s="288"/>
      <c r="BT630" s="288"/>
      <c r="BU630" s="288"/>
      <c r="BV630" s="288"/>
      <c r="BW630" s="288"/>
      <c r="BX630" s="288"/>
      <c r="BY630" s="288"/>
      <c r="BZ630" s="288"/>
      <c r="CA630" s="288"/>
      <c r="CB630" s="288"/>
      <c r="CC630" s="288"/>
      <c r="CD630" s="288"/>
      <c r="CE630" s="288"/>
      <c r="CF630" s="288"/>
      <c r="CG630" s="288"/>
      <c r="CH630" s="288"/>
      <c r="CI630" s="288"/>
      <c r="CJ630" s="288"/>
      <c r="CK630" s="288"/>
      <c r="CL630" s="288"/>
      <c r="CM630" s="288"/>
      <c r="CN630" s="288"/>
      <c r="CO630" s="288"/>
      <c r="CP630" s="288"/>
      <c r="CQ630" s="288"/>
      <c r="CR630" s="288"/>
      <c r="CS630" s="288"/>
      <c r="CT630" s="288"/>
    </row>
    <row r="631" spans="3:98" x14ac:dyDescent="0.25">
      <c r="C631" s="333">
        <v>280</v>
      </c>
      <c r="D631" s="334">
        <v>0.95</v>
      </c>
      <c r="E631" s="334">
        <v>0.96</v>
      </c>
      <c r="F631" s="335">
        <v>0.95</v>
      </c>
      <c r="G631" s="334">
        <v>0.92</v>
      </c>
      <c r="H631" s="334">
        <v>0.88</v>
      </c>
      <c r="I631" s="334">
        <v>0.83</v>
      </c>
      <c r="J631" s="334">
        <v>0.76</v>
      </c>
      <c r="K631" s="334">
        <v>0.69</v>
      </c>
      <c r="L631" s="334">
        <v>0.62</v>
      </c>
      <c r="M631" s="334">
        <v>0.55000000000000004</v>
      </c>
      <c r="P631" s="288"/>
      <c r="Q631" s="288"/>
      <c r="R631" s="288"/>
      <c r="S631" s="288"/>
      <c r="T631" s="288"/>
      <c r="U631" s="288"/>
      <c r="W631" s="288"/>
      <c r="X631" s="288"/>
      <c r="Y631" s="288"/>
      <c r="Z631" s="288"/>
      <c r="AA631" s="288"/>
      <c r="AB631" s="288"/>
      <c r="AD631" s="288"/>
      <c r="AE631" s="288"/>
      <c r="AF631" s="288"/>
      <c r="AG631" s="288"/>
      <c r="AH631" s="288"/>
      <c r="AI631" s="288"/>
      <c r="AJ631" s="288"/>
      <c r="AK631" s="288"/>
      <c r="AL631" s="288"/>
      <c r="AM631" s="288"/>
      <c r="AN631" s="288"/>
      <c r="AO631" s="288"/>
      <c r="AP631" s="288"/>
      <c r="AQ631" s="288"/>
      <c r="AR631" s="288"/>
      <c r="AS631" s="288"/>
      <c r="AT631" s="288"/>
      <c r="AU631" s="288"/>
      <c r="AV631" s="288"/>
      <c r="AW631" s="288"/>
      <c r="AX631" s="288"/>
      <c r="AY631" s="288"/>
      <c r="AZ631" s="288"/>
      <c r="BA631" s="288"/>
      <c r="BB631" s="288"/>
      <c r="BC631" s="288"/>
      <c r="BD631" s="288"/>
      <c r="BE631" s="288"/>
      <c r="BF631" s="288"/>
      <c r="BG631" s="288"/>
      <c r="BH631" s="288"/>
      <c r="BI631" s="288"/>
      <c r="BJ631" s="288"/>
      <c r="BK631" s="288"/>
      <c r="BL631" s="288"/>
      <c r="BM631" s="288"/>
      <c r="BN631" s="288"/>
      <c r="BO631" s="288"/>
      <c r="BP631" s="288"/>
      <c r="BQ631" s="288"/>
      <c r="BR631" s="288"/>
      <c r="BS631" s="288"/>
      <c r="BT631" s="288"/>
      <c r="BU631" s="288"/>
      <c r="BV631" s="288"/>
      <c r="BW631" s="288"/>
      <c r="BX631" s="288"/>
      <c r="BY631" s="288"/>
      <c r="BZ631" s="288"/>
      <c r="CA631" s="288"/>
      <c r="CB631" s="288"/>
      <c r="CC631" s="288"/>
      <c r="CD631" s="288"/>
      <c r="CE631" s="288"/>
      <c r="CF631" s="288"/>
      <c r="CG631" s="288"/>
      <c r="CH631" s="288"/>
      <c r="CI631" s="288"/>
      <c r="CJ631" s="288"/>
      <c r="CK631" s="288"/>
      <c r="CL631" s="288"/>
      <c r="CM631" s="288"/>
      <c r="CN631" s="288"/>
      <c r="CO631" s="288"/>
      <c r="CP631" s="288"/>
      <c r="CQ631" s="288"/>
      <c r="CR631" s="288"/>
      <c r="CS631" s="288"/>
      <c r="CT631" s="288"/>
    </row>
    <row r="632" spans="3:98" x14ac:dyDescent="0.25">
      <c r="C632" s="333">
        <v>290</v>
      </c>
      <c r="D632" s="334">
        <v>0.95</v>
      </c>
      <c r="E632" s="334">
        <v>0.97</v>
      </c>
      <c r="F632" s="335">
        <v>0.96</v>
      </c>
      <c r="G632" s="334">
        <v>0.94</v>
      </c>
      <c r="H632" s="334">
        <v>0.9</v>
      </c>
      <c r="I632" s="334">
        <v>0.84</v>
      </c>
      <c r="J632" s="334">
        <v>0.78</v>
      </c>
      <c r="K632" s="334">
        <v>0.71</v>
      </c>
      <c r="L632" s="334">
        <v>0.63</v>
      </c>
      <c r="M632" s="334">
        <v>0.55000000000000004</v>
      </c>
      <c r="P632" s="288"/>
      <c r="Q632" s="288"/>
      <c r="R632" s="288"/>
      <c r="S632" s="288"/>
      <c r="T632" s="288"/>
      <c r="U632" s="288"/>
      <c r="W632" s="288"/>
      <c r="X632" s="288"/>
      <c r="Y632" s="288"/>
      <c r="Z632" s="288"/>
      <c r="AA632" s="288"/>
      <c r="AB632" s="288"/>
      <c r="AD632" s="288"/>
      <c r="AE632" s="288"/>
      <c r="AF632" s="288"/>
      <c r="AG632" s="288"/>
      <c r="AH632" s="288"/>
      <c r="AI632" s="288"/>
      <c r="AJ632" s="288"/>
      <c r="AK632" s="288"/>
      <c r="AL632" s="288"/>
      <c r="AM632" s="288"/>
      <c r="AN632" s="288"/>
      <c r="AO632" s="288"/>
      <c r="AP632" s="288"/>
      <c r="AQ632" s="288"/>
      <c r="AR632" s="288"/>
      <c r="AS632" s="288"/>
      <c r="AT632" s="288"/>
      <c r="AU632" s="288"/>
      <c r="AV632" s="288"/>
      <c r="AW632" s="288"/>
      <c r="AX632" s="288"/>
      <c r="AY632" s="288"/>
      <c r="AZ632" s="288"/>
      <c r="BA632" s="288"/>
      <c r="BB632" s="288"/>
      <c r="BC632" s="288"/>
      <c r="BD632" s="288"/>
      <c r="BE632" s="288"/>
      <c r="BF632" s="288"/>
      <c r="BG632" s="288"/>
      <c r="BH632" s="288"/>
      <c r="BI632" s="288"/>
      <c r="BJ632" s="288"/>
      <c r="BK632" s="288"/>
      <c r="BL632" s="288"/>
      <c r="BM632" s="288"/>
      <c r="BN632" s="288"/>
      <c r="BO632" s="288"/>
      <c r="BP632" s="288"/>
      <c r="BQ632" s="288"/>
      <c r="BR632" s="288"/>
      <c r="BS632" s="288"/>
      <c r="BT632" s="288"/>
      <c r="BU632" s="288"/>
      <c r="BV632" s="288"/>
      <c r="BW632" s="288"/>
      <c r="BX632" s="288"/>
      <c r="BY632" s="288"/>
      <c r="BZ632" s="288"/>
      <c r="CA632" s="288"/>
      <c r="CB632" s="288"/>
      <c r="CC632" s="288"/>
      <c r="CD632" s="288"/>
      <c r="CE632" s="288"/>
      <c r="CF632" s="288"/>
      <c r="CG632" s="288"/>
      <c r="CH632" s="288"/>
      <c r="CI632" s="288"/>
      <c r="CJ632" s="288"/>
      <c r="CK632" s="288"/>
      <c r="CL632" s="288"/>
      <c r="CM632" s="288"/>
      <c r="CN632" s="288"/>
      <c r="CO632" s="288"/>
      <c r="CP632" s="288"/>
      <c r="CQ632" s="288"/>
      <c r="CR632" s="288"/>
      <c r="CS632" s="288"/>
      <c r="CT632" s="288"/>
    </row>
    <row r="633" spans="3:98" x14ac:dyDescent="0.25">
      <c r="C633" s="333">
        <v>300</v>
      </c>
      <c r="D633" s="334">
        <v>0.95</v>
      </c>
      <c r="E633" s="334">
        <v>0.97</v>
      </c>
      <c r="F633" s="335">
        <v>0.97</v>
      </c>
      <c r="G633" s="334">
        <v>0.95</v>
      </c>
      <c r="H633" s="334">
        <v>0.91</v>
      </c>
      <c r="I633" s="334">
        <v>0.86</v>
      </c>
      <c r="J633" s="334">
        <v>0.79</v>
      </c>
      <c r="K633" s="334">
        <v>0.72</v>
      </c>
      <c r="L633" s="334">
        <v>0.64</v>
      </c>
      <c r="M633" s="334">
        <v>0.56000000000000005</v>
      </c>
      <c r="P633" s="288"/>
      <c r="Q633" s="288"/>
      <c r="R633" s="288"/>
      <c r="S633" s="288"/>
      <c r="T633" s="288"/>
      <c r="U633" s="288"/>
      <c r="W633" s="288"/>
      <c r="X633" s="288"/>
      <c r="Y633" s="288"/>
      <c r="Z633" s="288"/>
      <c r="AA633" s="288"/>
      <c r="AB633" s="288"/>
      <c r="AD633" s="288"/>
      <c r="AE633" s="288"/>
      <c r="AF633" s="288"/>
      <c r="AG633" s="288"/>
      <c r="AH633" s="288"/>
      <c r="AI633" s="288"/>
      <c r="AJ633" s="288"/>
      <c r="AK633" s="288"/>
      <c r="AL633" s="288"/>
      <c r="AM633" s="288"/>
      <c r="AN633" s="288"/>
      <c r="AO633" s="288"/>
      <c r="AP633" s="288"/>
      <c r="AQ633" s="288"/>
      <c r="AR633" s="288"/>
      <c r="AS633" s="288"/>
      <c r="AT633" s="288"/>
      <c r="AU633" s="288"/>
      <c r="AV633" s="288"/>
      <c r="AW633" s="288"/>
      <c r="AX633" s="288"/>
      <c r="AY633" s="288"/>
      <c r="AZ633" s="288"/>
      <c r="BA633" s="288"/>
      <c r="BB633" s="288"/>
      <c r="BC633" s="288"/>
      <c r="BD633" s="288"/>
      <c r="BE633" s="288"/>
      <c r="BF633" s="288"/>
      <c r="BG633" s="288"/>
      <c r="BH633" s="288"/>
      <c r="BI633" s="288"/>
      <c r="BJ633" s="288"/>
      <c r="BK633" s="288"/>
      <c r="BL633" s="288"/>
      <c r="BM633" s="288"/>
      <c r="BN633" s="288"/>
      <c r="BO633" s="288"/>
      <c r="BP633" s="288"/>
      <c r="BQ633" s="288"/>
      <c r="BR633" s="288"/>
      <c r="BS633" s="288"/>
      <c r="BT633" s="288"/>
      <c r="BU633" s="288"/>
      <c r="BV633" s="288"/>
      <c r="BW633" s="288"/>
      <c r="BX633" s="288"/>
      <c r="BY633" s="288"/>
      <c r="BZ633" s="288"/>
      <c r="CA633" s="288"/>
      <c r="CB633" s="288"/>
      <c r="CC633" s="288"/>
      <c r="CD633" s="288"/>
      <c r="CE633" s="288"/>
      <c r="CF633" s="288"/>
      <c r="CG633" s="288"/>
      <c r="CH633" s="288"/>
      <c r="CI633" s="288"/>
      <c r="CJ633" s="288"/>
      <c r="CK633" s="288"/>
      <c r="CL633" s="288"/>
      <c r="CM633" s="288"/>
      <c r="CN633" s="288"/>
      <c r="CO633" s="288"/>
      <c r="CP633" s="288"/>
      <c r="CQ633" s="288"/>
      <c r="CR633" s="288"/>
      <c r="CS633" s="288"/>
      <c r="CT633" s="288"/>
    </row>
    <row r="634" spans="3:98" x14ac:dyDescent="0.25">
      <c r="C634" s="333">
        <v>310</v>
      </c>
      <c r="D634" s="334">
        <v>0.95</v>
      </c>
      <c r="E634" s="334">
        <v>0.98</v>
      </c>
      <c r="F634" s="335">
        <v>0.98</v>
      </c>
      <c r="G634" s="334">
        <v>0.96</v>
      </c>
      <c r="H634" s="334">
        <v>0.93</v>
      </c>
      <c r="I634" s="334">
        <v>0.87</v>
      </c>
      <c r="J634" s="334">
        <v>0.8</v>
      </c>
      <c r="K634" s="334">
        <v>0.73</v>
      </c>
      <c r="L634" s="334">
        <v>0.64</v>
      </c>
      <c r="M634" s="334">
        <v>0.55000000000000004</v>
      </c>
      <c r="P634" s="288"/>
      <c r="Q634" s="288"/>
      <c r="R634" s="288"/>
      <c r="S634" s="288"/>
      <c r="T634" s="288"/>
      <c r="U634" s="288"/>
      <c r="W634" s="288"/>
      <c r="X634" s="288"/>
      <c r="Y634" s="288"/>
      <c r="Z634" s="288"/>
      <c r="AA634" s="288"/>
      <c r="AB634" s="288"/>
      <c r="AD634" s="288"/>
      <c r="AE634" s="288"/>
      <c r="AF634" s="288"/>
      <c r="AG634" s="288"/>
      <c r="AH634" s="288"/>
      <c r="AI634" s="288"/>
      <c r="AJ634" s="288"/>
      <c r="AK634" s="288"/>
      <c r="AL634" s="288"/>
      <c r="AM634" s="288"/>
      <c r="AN634" s="288"/>
      <c r="AO634" s="288"/>
      <c r="AP634" s="288"/>
      <c r="AQ634" s="288"/>
      <c r="AR634" s="288"/>
      <c r="AS634" s="288"/>
      <c r="AT634" s="288"/>
      <c r="AU634" s="288"/>
      <c r="AV634" s="288"/>
      <c r="AW634" s="288"/>
      <c r="AX634" s="288"/>
      <c r="AY634" s="288"/>
      <c r="AZ634" s="288"/>
      <c r="BA634" s="288"/>
      <c r="BB634" s="288"/>
      <c r="BC634" s="288"/>
      <c r="BD634" s="288"/>
      <c r="BE634" s="288"/>
      <c r="BF634" s="288"/>
      <c r="BG634" s="288"/>
      <c r="BH634" s="288"/>
      <c r="BI634" s="288"/>
      <c r="BJ634" s="288"/>
      <c r="BK634" s="288"/>
      <c r="BL634" s="288"/>
      <c r="BM634" s="288"/>
      <c r="BN634" s="288"/>
      <c r="BO634" s="288"/>
      <c r="BP634" s="288"/>
      <c r="BQ634" s="288"/>
      <c r="BR634" s="288"/>
      <c r="BS634" s="288"/>
      <c r="BT634" s="288"/>
      <c r="BU634" s="288"/>
      <c r="BV634" s="288"/>
      <c r="BW634" s="288"/>
      <c r="BX634" s="288"/>
      <c r="BY634" s="288"/>
      <c r="BZ634" s="288"/>
      <c r="CA634" s="288"/>
      <c r="CB634" s="288"/>
      <c r="CC634" s="288"/>
      <c r="CD634" s="288"/>
      <c r="CE634" s="288"/>
      <c r="CF634" s="288"/>
      <c r="CG634" s="288"/>
      <c r="CH634" s="288"/>
      <c r="CI634" s="288"/>
      <c r="CJ634" s="288"/>
      <c r="CK634" s="288"/>
      <c r="CL634" s="288"/>
      <c r="CM634" s="288"/>
      <c r="CN634" s="288"/>
      <c r="CO634" s="288"/>
      <c r="CP634" s="288"/>
      <c r="CQ634" s="288"/>
      <c r="CR634" s="288"/>
      <c r="CS634" s="288"/>
      <c r="CT634" s="288"/>
    </row>
    <row r="635" spans="3:98" x14ac:dyDescent="0.25">
      <c r="C635" s="333">
        <v>320</v>
      </c>
      <c r="D635" s="334">
        <v>0.95</v>
      </c>
      <c r="E635" s="334">
        <v>0.98</v>
      </c>
      <c r="F635" s="335">
        <v>0.99</v>
      </c>
      <c r="G635" s="334">
        <v>0.97</v>
      </c>
      <c r="H635" s="334">
        <v>0.94</v>
      </c>
      <c r="I635" s="334">
        <v>0.88</v>
      </c>
      <c r="J635" s="334">
        <v>0.81</v>
      </c>
      <c r="K635" s="334">
        <v>0.73</v>
      </c>
      <c r="L635" s="334">
        <v>0.64</v>
      </c>
      <c r="M635" s="334">
        <v>0.55000000000000004</v>
      </c>
      <c r="P635" s="288"/>
      <c r="Q635" s="288"/>
      <c r="R635" s="288"/>
      <c r="S635" s="288"/>
      <c r="T635" s="288"/>
      <c r="U635" s="288"/>
      <c r="W635" s="288"/>
      <c r="X635" s="288"/>
      <c r="Y635" s="288"/>
      <c r="Z635" s="288"/>
      <c r="AA635" s="288"/>
      <c r="AB635" s="288"/>
      <c r="AD635" s="288"/>
      <c r="AE635" s="288"/>
      <c r="AF635" s="288"/>
      <c r="AG635" s="288"/>
      <c r="AH635" s="288"/>
      <c r="AI635" s="288"/>
      <c r="AJ635" s="288"/>
      <c r="AK635" s="288"/>
      <c r="AL635" s="288"/>
      <c r="AM635" s="288"/>
      <c r="AN635" s="288"/>
      <c r="AO635" s="288"/>
      <c r="AP635" s="288"/>
      <c r="AQ635" s="288"/>
      <c r="AR635" s="288"/>
      <c r="AS635" s="288"/>
      <c r="AT635" s="288"/>
      <c r="AU635" s="288"/>
      <c r="AV635" s="288"/>
      <c r="AW635" s="288"/>
      <c r="AX635" s="288"/>
      <c r="AY635" s="288"/>
      <c r="AZ635" s="288"/>
      <c r="BA635" s="288"/>
      <c r="BB635" s="288"/>
      <c r="BC635" s="288"/>
      <c r="BD635" s="288"/>
      <c r="BE635" s="288"/>
      <c r="BF635" s="288"/>
      <c r="BG635" s="288"/>
      <c r="BH635" s="288"/>
      <c r="BI635" s="288"/>
      <c r="BJ635" s="288"/>
      <c r="BK635" s="288"/>
      <c r="BL635" s="288"/>
      <c r="BM635" s="288"/>
      <c r="BN635" s="288"/>
      <c r="BO635" s="288"/>
      <c r="BP635" s="288"/>
      <c r="BQ635" s="288"/>
      <c r="BR635" s="288"/>
      <c r="BS635" s="288"/>
      <c r="BT635" s="288"/>
      <c r="BU635" s="288"/>
      <c r="BV635" s="288"/>
      <c r="BW635" s="288"/>
      <c r="BX635" s="288"/>
      <c r="BY635" s="288"/>
      <c r="BZ635" s="288"/>
      <c r="CA635" s="288"/>
      <c r="CB635" s="288"/>
      <c r="CC635" s="288"/>
      <c r="CD635" s="288"/>
      <c r="CE635" s="288"/>
      <c r="CF635" s="288"/>
      <c r="CG635" s="288"/>
      <c r="CH635" s="288"/>
      <c r="CI635" s="288"/>
      <c r="CJ635" s="288"/>
      <c r="CK635" s="288"/>
      <c r="CL635" s="288"/>
      <c r="CM635" s="288"/>
      <c r="CN635" s="288"/>
      <c r="CO635" s="288"/>
      <c r="CP635" s="288"/>
      <c r="CQ635" s="288"/>
      <c r="CR635" s="288"/>
      <c r="CS635" s="288"/>
      <c r="CT635" s="288"/>
    </row>
    <row r="636" spans="3:98" x14ac:dyDescent="0.25">
      <c r="C636" s="333">
        <v>330</v>
      </c>
      <c r="D636" s="334">
        <v>0.95</v>
      </c>
      <c r="E636" s="334">
        <v>0.98</v>
      </c>
      <c r="F636" s="335">
        <v>0.99</v>
      </c>
      <c r="G636" s="334">
        <v>0.98</v>
      </c>
      <c r="H636" s="334">
        <v>0.94</v>
      </c>
      <c r="I636" s="334">
        <v>0.89</v>
      </c>
      <c r="J636" s="334">
        <v>0.81</v>
      </c>
      <c r="K636" s="334">
        <v>0.73</v>
      </c>
      <c r="L636" s="334">
        <v>0.63</v>
      </c>
      <c r="M636" s="334">
        <v>0.54</v>
      </c>
      <c r="P636" s="288"/>
      <c r="Q636" s="288"/>
      <c r="R636" s="288"/>
      <c r="S636" s="288"/>
      <c r="T636" s="288"/>
      <c r="U636" s="288"/>
      <c r="W636" s="288"/>
      <c r="X636" s="288"/>
      <c r="Y636" s="288"/>
      <c r="Z636" s="288"/>
      <c r="AA636" s="288"/>
      <c r="AB636" s="288"/>
      <c r="AD636" s="288"/>
      <c r="AE636" s="288"/>
      <c r="AF636" s="288"/>
      <c r="AG636" s="288"/>
      <c r="AH636" s="288"/>
      <c r="AI636" s="288"/>
      <c r="AJ636" s="288"/>
      <c r="AK636" s="288"/>
      <c r="AL636" s="288"/>
      <c r="AM636" s="288"/>
      <c r="AN636" s="288"/>
      <c r="AO636" s="288"/>
      <c r="AP636" s="288"/>
      <c r="AQ636" s="288"/>
      <c r="AR636" s="288"/>
      <c r="AS636" s="288"/>
      <c r="AT636" s="288"/>
      <c r="AU636" s="288"/>
      <c r="AV636" s="288"/>
      <c r="AW636" s="288"/>
      <c r="AX636" s="288"/>
      <c r="AY636" s="288"/>
      <c r="AZ636" s="288"/>
      <c r="BA636" s="288"/>
      <c r="BB636" s="288"/>
      <c r="BC636" s="288"/>
      <c r="BD636" s="288"/>
      <c r="BE636" s="288"/>
      <c r="BF636" s="288"/>
      <c r="BG636" s="288"/>
      <c r="BH636" s="288"/>
      <c r="BI636" s="288"/>
      <c r="BJ636" s="288"/>
      <c r="BK636" s="288"/>
      <c r="BL636" s="288"/>
      <c r="BM636" s="288"/>
      <c r="BN636" s="288"/>
      <c r="BO636" s="288"/>
      <c r="BP636" s="288"/>
      <c r="BQ636" s="288"/>
      <c r="BR636" s="288"/>
      <c r="BS636" s="288"/>
      <c r="BT636" s="288"/>
      <c r="BU636" s="288"/>
      <c r="BV636" s="288"/>
      <c r="BW636" s="288"/>
      <c r="BX636" s="288"/>
      <c r="BY636" s="288"/>
      <c r="BZ636" s="288"/>
      <c r="CA636" s="288"/>
      <c r="CB636" s="288"/>
      <c r="CC636" s="288"/>
      <c r="CD636" s="288"/>
      <c r="CE636" s="288"/>
      <c r="CF636" s="288"/>
      <c r="CG636" s="288"/>
      <c r="CH636" s="288"/>
      <c r="CI636" s="288"/>
      <c r="CJ636" s="288"/>
      <c r="CK636" s="288"/>
      <c r="CL636" s="288"/>
      <c r="CM636" s="288"/>
      <c r="CN636" s="288"/>
      <c r="CO636" s="288"/>
      <c r="CP636" s="288"/>
      <c r="CQ636" s="288"/>
      <c r="CR636" s="288"/>
      <c r="CS636" s="288"/>
      <c r="CT636" s="288"/>
    </row>
    <row r="637" spans="3:98" x14ac:dyDescent="0.25">
      <c r="C637" s="333">
        <v>340</v>
      </c>
      <c r="D637" s="334">
        <v>0.95</v>
      </c>
      <c r="E637" s="334">
        <v>0.98</v>
      </c>
      <c r="F637" s="335">
        <v>1</v>
      </c>
      <c r="G637" s="334">
        <v>0.98</v>
      </c>
      <c r="H637" s="334">
        <v>0.95</v>
      </c>
      <c r="I637" s="334">
        <v>0.9</v>
      </c>
      <c r="J637" s="334">
        <v>0.82</v>
      </c>
      <c r="K637" s="334">
        <v>0.73</v>
      </c>
      <c r="L637" s="334">
        <v>0.63</v>
      </c>
      <c r="M637" s="334">
        <v>0.53</v>
      </c>
      <c r="P637" s="288"/>
      <c r="Q637" s="288"/>
      <c r="R637" s="288"/>
      <c r="S637" s="288"/>
      <c r="T637" s="288"/>
      <c r="U637" s="288"/>
      <c r="W637" s="288"/>
      <c r="X637" s="288"/>
      <c r="Y637" s="288"/>
      <c r="Z637" s="288"/>
      <c r="AA637" s="288"/>
      <c r="AB637" s="288"/>
      <c r="AD637" s="288"/>
      <c r="AE637" s="288"/>
      <c r="AF637" s="288"/>
      <c r="AG637" s="288"/>
      <c r="AH637" s="288"/>
      <c r="AI637" s="288"/>
      <c r="AJ637" s="288"/>
      <c r="AK637" s="288"/>
      <c r="AL637" s="288"/>
      <c r="AM637" s="288"/>
      <c r="AN637" s="288"/>
      <c r="AO637" s="288"/>
      <c r="AP637" s="288"/>
      <c r="AQ637" s="288"/>
      <c r="AR637" s="288"/>
      <c r="AS637" s="288"/>
      <c r="AT637" s="288"/>
      <c r="AU637" s="288"/>
      <c r="AV637" s="288"/>
      <c r="AW637" s="288"/>
      <c r="AX637" s="288"/>
      <c r="AY637" s="288"/>
      <c r="AZ637" s="288"/>
      <c r="BA637" s="288"/>
      <c r="BB637" s="288"/>
      <c r="BC637" s="288"/>
      <c r="BD637" s="288"/>
      <c r="BE637" s="288"/>
      <c r="BF637" s="288"/>
      <c r="BG637" s="288"/>
      <c r="BH637" s="288"/>
      <c r="BI637" s="288"/>
      <c r="BJ637" s="288"/>
      <c r="BK637" s="288"/>
      <c r="BL637" s="288"/>
      <c r="BM637" s="288"/>
      <c r="BN637" s="288"/>
      <c r="BO637" s="288"/>
      <c r="BP637" s="288"/>
      <c r="BQ637" s="288"/>
      <c r="BR637" s="288"/>
      <c r="BS637" s="288"/>
      <c r="BT637" s="288"/>
      <c r="BU637" s="288"/>
      <c r="BV637" s="288"/>
      <c r="BW637" s="288"/>
      <c r="BX637" s="288"/>
      <c r="BY637" s="288"/>
      <c r="BZ637" s="288"/>
      <c r="CA637" s="288"/>
      <c r="CB637" s="288"/>
      <c r="CC637" s="288"/>
      <c r="CD637" s="288"/>
      <c r="CE637" s="288"/>
      <c r="CF637" s="288"/>
      <c r="CG637" s="288"/>
      <c r="CH637" s="288"/>
      <c r="CI637" s="288"/>
      <c r="CJ637" s="288"/>
      <c r="CK637" s="288"/>
      <c r="CL637" s="288"/>
      <c r="CM637" s="288"/>
      <c r="CN637" s="288"/>
      <c r="CO637" s="288"/>
      <c r="CP637" s="288"/>
      <c r="CQ637" s="288"/>
      <c r="CR637" s="288"/>
      <c r="CS637" s="288"/>
      <c r="CT637" s="288"/>
    </row>
    <row r="638" spans="3:98" x14ac:dyDescent="0.25">
      <c r="C638" s="333">
        <v>350</v>
      </c>
      <c r="D638" s="334">
        <v>0.95</v>
      </c>
      <c r="E638" s="334">
        <v>0.99</v>
      </c>
      <c r="F638" s="335">
        <v>1</v>
      </c>
      <c r="G638" s="334">
        <v>0.99</v>
      </c>
      <c r="H638" s="334">
        <v>0.95</v>
      </c>
      <c r="I638" s="334">
        <v>0.9</v>
      </c>
      <c r="J638" s="334">
        <v>0.82</v>
      </c>
      <c r="K638" s="334">
        <v>0.73</v>
      </c>
      <c r="L638" s="334">
        <v>0.62</v>
      </c>
      <c r="M638" s="334">
        <v>0.52</v>
      </c>
      <c r="P638" s="288"/>
      <c r="Q638" s="288"/>
      <c r="R638" s="288"/>
      <c r="S638" s="288"/>
      <c r="T638" s="288"/>
      <c r="U638" s="288"/>
      <c r="W638" s="288"/>
      <c r="X638" s="288"/>
      <c r="Y638" s="288"/>
      <c r="Z638" s="288"/>
      <c r="AA638" s="288"/>
      <c r="AB638" s="288"/>
      <c r="AD638" s="288"/>
      <c r="AE638" s="288"/>
      <c r="AF638" s="288"/>
      <c r="AG638" s="288"/>
      <c r="AH638" s="288"/>
      <c r="AI638" s="288"/>
      <c r="AJ638" s="288"/>
      <c r="AK638" s="288"/>
      <c r="AL638" s="288"/>
      <c r="AM638" s="288"/>
      <c r="AN638" s="288"/>
      <c r="AO638" s="288"/>
      <c r="AP638" s="288"/>
      <c r="AQ638" s="288"/>
      <c r="AR638" s="288"/>
      <c r="AS638" s="288"/>
      <c r="AT638" s="288"/>
      <c r="AU638" s="288"/>
      <c r="AV638" s="288"/>
      <c r="AW638" s="288"/>
      <c r="AX638" s="288"/>
      <c r="AY638" s="288"/>
      <c r="AZ638" s="288"/>
      <c r="BA638" s="288"/>
      <c r="BB638" s="288"/>
      <c r="BC638" s="288"/>
      <c r="BD638" s="288"/>
      <c r="BE638" s="288"/>
      <c r="BF638" s="288"/>
      <c r="BG638" s="288"/>
      <c r="BH638" s="288"/>
      <c r="BI638" s="288"/>
      <c r="BJ638" s="288"/>
      <c r="BK638" s="288"/>
      <c r="BL638" s="288"/>
      <c r="BM638" s="288"/>
      <c r="BN638" s="288"/>
      <c r="BO638" s="288"/>
      <c r="BP638" s="288"/>
      <c r="BQ638" s="288"/>
      <c r="BR638" s="288"/>
      <c r="BS638" s="288"/>
      <c r="BT638" s="288"/>
      <c r="BU638" s="288"/>
      <c r="BV638" s="288"/>
      <c r="BW638" s="288"/>
      <c r="BX638" s="288"/>
      <c r="BY638" s="288"/>
      <c r="BZ638" s="288"/>
      <c r="CA638" s="288"/>
      <c r="CB638" s="288"/>
      <c r="CC638" s="288"/>
      <c r="CD638" s="288"/>
      <c r="CE638" s="288"/>
      <c r="CF638" s="288"/>
      <c r="CG638" s="288"/>
      <c r="CH638" s="288"/>
      <c r="CI638" s="288"/>
      <c r="CJ638" s="288"/>
      <c r="CK638" s="288"/>
      <c r="CL638" s="288"/>
      <c r="CM638" s="288"/>
      <c r="CN638" s="288"/>
      <c r="CO638" s="288"/>
      <c r="CP638" s="288"/>
      <c r="CQ638" s="288"/>
      <c r="CR638" s="288"/>
      <c r="CS638" s="288"/>
      <c r="CT638" s="288"/>
    </row>
    <row r="639" spans="3:98" x14ac:dyDescent="0.25">
      <c r="F639" s="260"/>
      <c r="P639" s="288"/>
      <c r="Q639" s="288"/>
      <c r="R639" s="288"/>
      <c r="S639" s="288"/>
      <c r="T639" s="288"/>
      <c r="U639" s="288"/>
      <c r="W639" s="288"/>
      <c r="X639" s="288"/>
      <c r="Y639" s="288"/>
      <c r="Z639" s="288"/>
      <c r="AA639" s="288"/>
      <c r="AB639" s="288"/>
      <c r="AD639" s="288"/>
      <c r="AE639" s="288"/>
      <c r="AF639" s="288"/>
      <c r="AG639" s="288"/>
      <c r="AH639" s="288"/>
      <c r="AI639" s="288"/>
      <c r="AJ639" s="288"/>
      <c r="AK639" s="288"/>
      <c r="AL639" s="288"/>
      <c r="AM639" s="288"/>
      <c r="AN639" s="288"/>
      <c r="AO639" s="288"/>
      <c r="AP639" s="288"/>
      <c r="AQ639" s="288"/>
      <c r="AR639" s="288"/>
      <c r="AS639" s="288"/>
      <c r="AT639" s="288"/>
      <c r="AU639" s="288"/>
      <c r="AV639" s="288"/>
      <c r="AW639" s="288"/>
      <c r="AX639" s="288"/>
      <c r="AY639" s="288"/>
      <c r="AZ639" s="288"/>
      <c r="BA639" s="288"/>
      <c r="BB639" s="288"/>
      <c r="BC639" s="288"/>
      <c r="BD639" s="288"/>
      <c r="BE639" s="288"/>
      <c r="BF639" s="288"/>
      <c r="BG639" s="288"/>
      <c r="BH639" s="288"/>
      <c r="BI639" s="288"/>
      <c r="BJ639" s="288"/>
      <c r="BK639" s="288"/>
      <c r="BL639" s="288"/>
      <c r="BM639" s="288"/>
      <c r="BN639" s="288"/>
      <c r="BO639" s="288"/>
      <c r="BP639" s="288"/>
      <c r="BQ639" s="288"/>
      <c r="BR639" s="288"/>
      <c r="BS639" s="288"/>
      <c r="BT639" s="288"/>
      <c r="BU639" s="288"/>
      <c r="BV639" s="288"/>
      <c r="BW639" s="288"/>
      <c r="BX639" s="288"/>
      <c r="BY639" s="288"/>
      <c r="BZ639" s="288"/>
      <c r="CA639" s="288"/>
      <c r="CB639" s="288"/>
      <c r="CC639" s="288"/>
      <c r="CD639" s="288"/>
      <c r="CE639" s="288"/>
      <c r="CF639" s="288"/>
      <c r="CG639" s="288"/>
      <c r="CH639" s="288"/>
      <c r="CI639" s="288"/>
      <c r="CJ639" s="288"/>
      <c r="CK639" s="288"/>
      <c r="CL639" s="288"/>
      <c r="CM639" s="288"/>
      <c r="CN639" s="288"/>
      <c r="CO639" s="288"/>
      <c r="CP639" s="288"/>
      <c r="CQ639" s="288"/>
      <c r="CR639" s="288"/>
      <c r="CS639" s="288"/>
      <c r="CT639" s="288"/>
    </row>
    <row r="641" spans="1:20" x14ac:dyDescent="0.25">
      <c r="A641" s="343"/>
      <c r="B641" s="343"/>
      <c r="C641" s="343"/>
      <c r="D641" s="343"/>
      <c r="E641" s="343"/>
      <c r="F641" s="348"/>
    </row>
    <row r="642" spans="1:20" ht="20.25" x14ac:dyDescent="0.3">
      <c r="A642" s="343"/>
      <c r="B642" s="345" t="s">
        <v>705</v>
      </c>
      <c r="C642" s="343"/>
      <c r="D642" s="343"/>
      <c r="E642" s="343"/>
      <c r="F642" s="348"/>
    </row>
    <row r="643" spans="1:20" x14ac:dyDescent="0.25">
      <c r="A643" s="343"/>
      <c r="B643" s="343"/>
      <c r="C643" s="343"/>
      <c r="D643" s="343"/>
      <c r="E643" s="343"/>
      <c r="F643" s="343"/>
    </row>
    <row r="644" spans="1:20" x14ac:dyDescent="0.25">
      <c r="A644" s="343"/>
      <c r="B644" s="379" t="s">
        <v>406</v>
      </c>
      <c r="C644" s="380" t="s">
        <v>1</v>
      </c>
      <c r="D644" s="379" t="s">
        <v>340</v>
      </c>
      <c r="E644" s="379" t="s">
        <v>341</v>
      </c>
      <c r="F644" s="379" t="s">
        <v>342</v>
      </c>
      <c r="G644" s="336" t="s">
        <v>343</v>
      </c>
      <c r="H644" s="336" t="s">
        <v>313</v>
      </c>
      <c r="I644" s="336" t="s">
        <v>314</v>
      </c>
      <c r="J644" s="336" t="s">
        <v>315</v>
      </c>
      <c r="K644" s="417" t="s">
        <v>316</v>
      </c>
      <c r="L644" s="417"/>
      <c r="M644" s="417"/>
      <c r="N644" s="417"/>
      <c r="O644" s="336" t="s">
        <v>675</v>
      </c>
      <c r="P644" s="336" t="s">
        <v>317</v>
      </c>
      <c r="Q644" s="337" t="s">
        <v>318</v>
      </c>
      <c r="R644" s="337" t="s">
        <v>319</v>
      </c>
      <c r="S644" s="337" t="s">
        <v>320</v>
      </c>
      <c r="T644" s="337" t="s">
        <v>321</v>
      </c>
    </row>
    <row r="645" spans="1:20" x14ac:dyDescent="0.25">
      <c r="A645" s="343">
        <v>1</v>
      </c>
      <c r="B645" s="381" t="s">
        <v>322</v>
      </c>
      <c r="C645" s="382" t="s">
        <v>3</v>
      </c>
      <c r="D645" s="353">
        <v>135</v>
      </c>
      <c r="E645" s="353">
        <v>270</v>
      </c>
      <c r="F645" s="382">
        <v>0</v>
      </c>
      <c r="G645" s="338">
        <v>0</v>
      </c>
      <c r="H645" s="263">
        <v>75</v>
      </c>
      <c r="I645" s="339">
        <v>5</v>
      </c>
      <c r="J645" s="339">
        <v>1</v>
      </c>
      <c r="K645" s="263">
        <v>12</v>
      </c>
      <c r="L645" s="263">
        <v>24</v>
      </c>
      <c r="M645" s="338" t="s">
        <v>323</v>
      </c>
      <c r="N645" s="338" t="s">
        <v>323</v>
      </c>
      <c r="O645" s="338">
        <v>13</v>
      </c>
      <c r="P645" s="263">
        <v>10</v>
      </c>
      <c r="Q645" s="263">
        <v>0.98</v>
      </c>
      <c r="R645" s="263">
        <v>0.98</v>
      </c>
      <c r="S645" s="338">
        <v>0</v>
      </c>
      <c r="T645" s="338">
        <v>0</v>
      </c>
    </row>
    <row r="646" spans="1:20" x14ac:dyDescent="0.25">
      <c r="A646" s="343">
        <v>2</v>
      </c>
      <c r="B646" s="381" t="s">
        <v>324</v>
      </c>
      <c r="C646" s="382" t="s">
        <v>3</v>
      </c>
      <c r="D646" s="353">
        <v>200</v>
      </c>
      <c r="E646" s="353">
        <v>400</v>
      </c>
      <c r="F646" s="382">
        <v>0</v>
      </c>
      <c r="G646" s="338">
        <v>0</v>
      </c>
      <c r="H646" s="263">
        <v>75</v>
      </c>
      <c r="I646" s="339">
        <v>5</v>
      </c>
      <c r="J646" s="339">
        <v>1</v>
      </c>
      <c r="K646" s="263">
        <v>12</v>
      </c>
      <c r="L646" s="263">
        <v>24</v>
      </c>
      <c r="M646" s="338" t="s">
        <v>323</v>
      </c>
      <c r="N646" s="338" t="s">
        <v>323</v>
      </c>
      <c r="O646" s="338">
        <v>15</v>
      </c>
      <c r="P646" s="263">
        <v>15</v>
      </c>
      <c r="Q646" s="263">
        <v>0.98</v>
      </c>
      <c r="R646" s="263">
        <v>0.98</v>
      </c>
      <c r="S646" s="338">
        <v>0</v>
      </c>
      <c r="T646" s="338">
        <v>0</v>
      </c>
    </row>
    <row r="647" spans="1:20" x14ac:dyDescent="0.25">
      <c r="A647" s="343">
        <v>3</v>
      </c>
      <c r="B647" s="381" t="s">
        <v>325</v>
      </c>
      <c r="C647" s="382" t="s">
        <v>3</v>
      </c>
      <c r="D647" s="353">
        <v>200</v>
      </c>
      <c r="E647" s="353">
        <v>400</v>
      </c>
      <c r="F647" s="382">
        <v>0</v>
      </c>
      <c r="G647" s="338">
        <v>0</v>
      </c>
      <c r="H647" s="263">
        <v>100</v>
      </c>
      <c r="I647" s="339">
        <v>5</v>
      </c>
      <c r="J647" s="339">
        <v>1</v>
      </c>
      <c r="K647" s="263">
        <v>12</v>
      </c>
      <c r="L647" s="263">
        <v>24</v>
      </c>
      <c r="M647" s="338" t="s">
        <v>323</v>
      </c>
      <c r="N647" s="338" t="s">
        <v>323</v>
      </c>
      <c r="O647" s="338">
        <v>15</v>
      </c>
      <c r="P647" s="263">
        <v>15</v>
      </c>
      <c r="Q647" s="263">
        <v>0.98</v>
      </c>
      <c r="R647" s="263">
        <v>0.98</v>
      </c>
      <c r="S647" s="338">
        <v>0</v>
      </c>
      <c r="T647" s="338">
        <v>0</v>
      </c>
    </row>
    <row r="648" spans="1:20" x14ac:dyDescent="0.25">
      <c r="A648" s="343">
        <v>4</v>
      </c>
      <c r="B648" s="381" t="s">
        <v>326</v>
      </c>
      <c r="C648" s="382" t="s">
        <v>3</v>
      </c>
      <c r="D648" s="353">
        <v>290</v>
      </c>
      <c r="E648" s="353">
        <v>580</v>
      </c>
      <c r="F648" s="382">
        <v>0</v>
      </c>
      <c r="G648" s="338">
        <v>0</v>
      </c>
      <c r="H648" s="263">
        <v>100</v>
      </c>
      <c r="I648" s="339">
        <v>5</v>
      </c>
      <c r="J648" s="339">
        <v>1</v>
      </c>
      <c r="K648" s="263">
        <v>12</v>
      </c>
      <c r="L648" s="263">
        <v>24</v>
      </c>
      <c r="M648" s="338" t="s">
        <v>323</v>
      </c>
      <c r="N648" s="338" t="s">
        <v>323</v>
      </c>
      <c r="O648" s="338">
        <v>20</v>
      </c>
      <c r="P648" s="263">
        <v>20</v>
      </c>
      <c r="Q648" s="263">
        <v>0.98</v>
      </c>
      <c r="R648" s="263">
        <v>0.98</v>
      </c>
      <c r="S648" s="338">
        <v>0</v>
      </c>
      <c r="T648" s="338">
        <v>0</v>
      </c>
    </row>
    <row r="649" spans="1:20" x14ac:dyDescent="0.25">
      <c r="A649" s="343">
        <v>5</v>
      </c>
      <c r="B649" s="381" t="s">
        <v>327</v>
      </c>
      <c r="C649" s="382" t="s">
        <v>3</v>
      </c>
      <c r="D649" s="353">
        <v>0</v>
      </c>
      <c r="E649" s="353">
        <v>0</v>
      </c>
      <c r="F649" s="382">
        <v>0</v>
      </c>
      <c r="G649" s="338">
        <v>1160</v>
      </c>
      <c r="H649" s="263">
        <v>100</v>
      </c>
      <c r="I649" s="339">
        <v>5</v>
      </c>
      <c r="J649" s="339">
        <v>1</v>
      </c>
      <c r="K649" s="263" t="s">
        <v>323</v>
      </c>
      <c r="L649" s="263" t="s">
        <v>323</v>
      </c>
      <c r="M649" s="338" t="s">
        <v>323</v>
      </c>
      <c r="N649" s="338">
        <v>48</v>
      </c>
      <c r="O649" s="338">
        <v>20</v>
      </c>
      <c r="P649" s="263">
        <v>20</v>
      </c>
      <c r="Q649" s="263">
        <v>0</v>
      </c>
      <c r="R649" s="263">
        <v>0</v>
      </c>
      <c r="S649" s="338">
        <v>0</v>
      </c>
      <c r="T649" s="338">
        <v>0.98</v>
      </c>
    </row>
    <row r="650" spans="1:20" x14ac:dyDescent="0.25">
      <c r="A650" s="343">
        <v>6</v>
      </c>
      <c r="B650" s="381" t="s">
        <v>328</v>
      </c>
      <c r="C650" s="382" t="s">
        <v>3</v>
      </c>
      <c r="D650" s="353">
        <v>440</v>
      </c>
      <c r="E650" s="353">
        <v>880</v>
      </c>
      <c r="F650" s="382">
        <v>0</v>
      </c>
      <c r="G650" s="338">
        <v>0</v>
      </c>
      <c r="H650" s="263">
        <v>100</v>
      </c>
      <c r="I650" s="339">
        <v>5</v>
      </c>
      <c r="J650" s="339">
        <v>1</v>
      </c>
      <c r="K650" s="263">
        <v>12</v>
      </c>
      <c r="L650" s="263">
        <v>24</v>
      </c>
      <c r="M650" s="338" t="s">
        <v>323</v>
      </c>
      <c r="N650" s="338" t="s">
        <v>323</v>
      </c>
      <c r="O650" s="338">
        <v>30</v>
      </c>
      <c r="P650" s="263">
        <v>30</v>
      </c>
      <c r="Q650" s="263">
        <v>0.98</v>
      </c>
      <c r="R650" s="263">
        <v>0.98</v>
      </c>
      <c r="S650" s="338">
        <v>0</v>
      </c>
      <c r="T650" s="338">
        <v>0</v>
      </c>
    </row>
    <row r="651" spans="1:20" x14ac:dyDescent="0.25">
      <c r="A651" s="343">
        <v>7</v>
      </c>
      <c r="B651" s="381" t="s">
        <v>329</v>
      </c>
      <c r="C651" s="382" t="s">
        <v>3</v>
      </c>
      <c r="D651" s="353">
        <v>700</v>
      </c>
      <c r="E651" s="353">
        <v>1400</v>
      </c>
      <c r="F651" s="382">
        <v>0</v>
      </c>
      <c r="G651" s="338">
        <v>0</v>
      </c>
      <c r="H651" s="263">
        <v>100</v>
      </c>
      <c r="I651" s="339">
        <v>5</v>
      </c>
      <c r="J651" s="339">
        <v>1</v>
      </c>
      <c r="K651" s="263">
        <v>12</v>
      </c>
      <c r="L651" s="263">
        <v>24</v>
      </c>
      <c r="M651" s="338" t="s">
        <v>323</v>
      </c>
      <c r="N651" s="338" t="s">
        <v>323</v>
      </c>
      <c r="O651" s="338">
        <v>50</v>
      </c>
      <c r="P651" s="263">
        <v>50</v>
      </c>
      <c r="Q651" s="263">
        <v>0.98</v>
      </c>
      <c r="R651" s="263">
        <v>0.98</v>
      </c>
      <c r="S651" s="338">
        <v>0</v>
      </c>
      <c r="T651" s="338">
        <v>0</v>
      </c>
    </row>
    <row r="652" spans="1:20" x14ac:dyDescent="0.25">
      <c r="A652" s="343">
        <v>8</v>
      </c>
      <c r="B652" s="381" t="s">
        <v>330</v>
      </c>
      <c r="C652" s="382" t="s">
        <v>3</v>
      </c>
      <c r="D652" s="353">
        <v>500</v>
      </c>
      <c r="E652" s="353">
        <v>1000</v>
      </c>
      <c r="F652" s="353">
        <v>1500</v>
      </c>
      <c r="G652" s="263">
        <v>2000</v>
      </c>
      <c r="H652" s="263">
        <v>150</v>
      </c>
      <c r="I652" s="339">
        <v>5</v>
      </c>
      <c r="J652" s="339">
        <v>1</v>
      </c>
      <c r="K652" s="263">
        <v>12</v>
      </c>
      <c r="L652" s="263">
        <v>24</v>
      </c>
      <c r="M652" s="263">
        <v>36</v>
      </c>
      <c r="N652" s="263">
        <v>48</v>
      </c>
      <c r="O652" s="263">
        <v>40</v>
      </c>
      <c r="P652" s="263">
        <v>35</v>
      </c>
      <c r="Q652" s="263">
        <v>0.98</v>
      </c>
      <c r="R652" s="263">
        <v>0.98</v>
      </c>
      <c r="S652" s="263">
        <v>0.98</v>
      </c>
      <c r="T652" s="263">
        <v>0.98</v>
      </c>
    </row>
    <row r="653" spans="1:20" x14ac:dyDescent="0.25">
      <c r="A653" s="343">
        <v>9</v>
      </c>
      <c r="B653" s="381" t="s">
        <v>331</v>
      </c>
      <c r="C653" s="382" t="s">
        <v>3</v>
      </c>
      <c r="D653" s="353">
        <v>650</v>
      </c>
      <c r="E653" s="353">
        <v>1300</v>
      </c>
      <c r="F653" s="353"/>
      <c r="G653" s="263">
        <v>2600</v>
      </c>
      <c r="H653" s="263">
        <v>150</v>
      </c>
      <c r="I653" s="339">
        <v>5</v>
      </c>
      <c r="J653" s="339">
        <v>1</v>
      </c>
      <c r="K653" s="263">
        <v>12</v>
      </c>
      <c r="L653" s="263">
        <v>24</v>
      </c>
      <c r="M653" s="263">
        <v>36</v>
      </c>
      <c r="N653" s="263">
        <v>48</v>
      </c>
      <c r="O653" s="263">
        <v>2600</v>
      </c>
      <c r="P653" s="263">
        <v>45</v>
      </c>
      <c r="Q653" s="263">
        <v>0.98</v>
      </c>
      <c r="R653" s="263">
        <v>0.98</v>
      </c>
      <c r="S653" s="263">
        <v>0.98</v>
      </c>
      <c r="T653" s="263">
        <v>0.98</v>
      </c>
    </row>
    <row r="654" spans="1:20" x14ac:dyDescent="0.25">
      <c r="A654" s="343">
        <v>10</v>
      </c>
      <c r="B654" s="381" t="s">
        <v>332</v>
      </c>
      <c r="C654" s="382" t="s">
        <v>3</v>
      </c>
      <c r="D654" s="353">
        <v>860</v>
      </c>
      <c r="E654" s="353">
        <v>1720</v>
      </c>
      <c r="F654" s="353"/>
      <c r="G654" s="263">
        <v>3440</v>
      </c>
      <c r="H654" s="263">
        <v>150</v>
      </c>
      <c r="I654" s="339">
        <v>5</v>
      </c>
      <c r="J654" s="339">
        <v>1</v>
      </c>
      <c r="K654" s="263">
        <v>12</v>
      </c>
      <c r="L654" s="263">
        <v>24</v>
      </c>
      <c r="M654" s="263">
        <v>36</v>
      </c>
      <c r="N654" s="263">
        <v>48</v>
      </c>
      <c r="O654" s="263">
        <v>50</v>
      </c>
      <c r="P654" s="263">
        <v>60</v>
      </c>
      <c r="Q654" s="263">
        <v>0.98</v>
      </c>
      <c r="R654" s="263">
        <v>0.98</v>
      </c>
      <c r="S654" s="263">
        <v>0.98</v>
      </c>
      <c r="T654" s="263">
        <v>0.98</v>
      </c>
    </row>
    <row r="655" spans="1:20" x14ac:dyDescent="0.25">
      <c r="A655" s="343">
        <v>11</v>
      </c>
      <c r="B655" s="381" t="s">
        <v>333</v>
      </c>
      <c r="C655" s="382" t="s">
        <v>3</v>
      </c>
      <c r="D655" s="353">
        <v>1000</v>
      </c>
      <c r="E655" s="353">
        <v>2000</v>
      </c>
      <c r="F655" s="353"/>
      <c r="G655" s="263">
        <v>4000</v>
      </c>
      <c r="H655" s="263">
        <v>150</v>
      </c>
      <c r="I655" s="339">
        <v>5</v>
      </c>
      <c r="J655" s="339">
        <v>1</v>
      </c>
      <c r="K655" s="263">
        <v>12</v>
      </c>
      <c r="L655" s="263">
        <v>24</v>
      </c>
      <c r="M655" s="263">
        <v>36</v>
      </c>
      <c r="N655" s="263">
        <v>48</v>
      </c>
      <c r="O655" s="263">
        <v>50</v>
      </c>
      <c r="P655" s="263">
        <v>70</v>
      </c>
      <c r="Q655" s="263">
        <v>0.98</v>
      </c>
      <c r="R655" s="263">
        <v>0.98</v>
      </c>
      <c r="S655" s="263">
        <v>0.98</v>
      </c>
      <c r="T655" s="263">
        <v>0.98</v>
      </c>
    </row>
    <row r="656" spans="1:20" x14ac:dyDescent="0.25">
      <c r="A656" s="343">
        <v>12</v>
      </c>
      <c r="B656" s="381" t="s">
        <v>334</v>
      </c>
      <c r="C656" s="382" t="s">
        <v>3</v>
      </c>
      <c r="D656" s="353">
        <v>1200</v>
      </c>
      <c r="E656" s="353">
        <v>2400</v>
      </c>
      <c r="F656" s="353"/>
      <c r="G656" s="263">
        <v>4900</v>
      </c>
      <c r="H656" s="263">
        <v>150</v>
      </c>
      <c r="I656" s="339">
        <v>5</v>
      </c>
      <c r="J656" s="339">
        <v>1</v>
      </c>
      <c r="K656" s="263">
        <v>12</v>
      </c>
      <c r="L656" s="263">
        <v>24</v>
      </c>
      <c r="M656" s="263">
        <v>36</v>
      </c>
      <c r="N656" s="263">
        <v>48</v>
      </c>
      <c r="O656" s="263">
        <v>70</v>
      </c>
      <c r="P656" s="263">
        <v>85</v>
      </c>
      <c r="Q656" s="263">
        <v>0.98</v>
      </c>
      <c r="R656" s="263">
        <v>0.98</v>
      </c>
      <c r="S656" s="263">
        <v>0.98</v>
      </c>
      <c r="T656" s="263">
        <v>0.98</v>
      </c>
    </row>
    <row r="657" spans="1:20" x14ac:dyDescent="0.25">
      <c r="A657" s="343">
        <v>13</v>
      </c>
      <c r="B657" s="381" t="s">
        <v>335</v>
      </c>
      <c r="C657" s="382" t="s">
        <v>3</v>
      </c>
      <c r="D657" s="353">
        <v>1450</v>
      </c>
      <c r="E657" s="353">
        <v>2900</v>
      </c>
      <c r="F657" s="353"/>
      <c r="G657" s="263">
        <v>5800</v>
      </c>
      <c r="H657" s="263">
        <v>150</v>
      </c>
      <c r="I657" s="339">
        <v>5</v>
      </c>
      <c r="J657" s="339">
        <v>1</v>
      </c>
      <c r="K657" s="263">
        <v>12</v>
      </c>
      <c r="L657" s="263">
        <v>24</v>
      </c>
      <c r="M657" s="263">
        <v>36</v>
      </c>
      <c r="N657" s="263">
        <v>48</v>
      </c>
      <c r="O657" s="263">
        <v>70</v>
      </c>
      <c r="P657" s="263">
        <v>100</v>
      </c>
      <c r="Q657" s="263">
        <v>0.98</v>
      </c>
      <c r="R657" s="263">
        <v>0.98</v>
      </c>
      <c r="S657" s="263">
        <v>0.98</v>
      </c>
      <c r="T657" s="263">
        <v>0.98</v>
      </c>
    </row>
    <row r="658" spans="1:20" x14ac:dyDescent="0.25">
      <c r="A658" s="343">
        <v>14</v>
      </c>
      <c r="B658" s="381" t="s">
        <v>336</v>
      </c>
      <c r="C658" s="382" t="s">
        <v>3</v>
      </c>
      <c r="D658" s="353">
        <v>860</v>
      </c>
      <c r="E658" s="353">
        <v>1720</v>
      </c>
      <c r="F658" s="353"/>
      <c r="G658" s="263">
        <v>3440</v>
      </c>
      <c r="H658" s="263">
        <v>250</v>
      </c>
      <c r="I658" s="339">
        <v>5</v>
      </c>
      <c r="J658" s="339">
        <v>1</v>
      </c>
      <c r="K658" s="263">
        <v>12</v>
      </c>
      <c r="L658" s="263">
        <v>24</v>
      </c>
      <c r="M658" s="263">
        <v>36</v>
      </c>
      <c r="N658" s="263">
        <v>48</v>
      </c>
      <c r="O658" s="263">
        <v>35</v>
      </c>
      <c r="P658" s="263">
        <v>60</v>
      </c>
      <c r="Q658" s="263">
        <v>0.99</v>
      </c>
      <c r="R658" s="263">
        <v>0.99</v>
      </c>
      <c r="S658" s="263">
        <v>0.99</v>
      </c>
      <c r="T658" s="263">
        <v>0.99</v>
      </c>
    </row>
    <row r="659" spans="1:20" x14ac:dyDescent="0.25">
      <c r="A659" s="343">
        <v>15</v>
      </c>
      <c r="B659" s="381" t="s">
        <v>337</v>
      </c>
      <c r="C659" s="382" t="s">
        <v>3</v>
      </c>
      <c r="D659" s="353">
        <v>1000</v>
      </c>
      <c r="E659" s="353">
        <v>2000</v>
      </c>
      <c r="F659" s="353"/>
      <c r="G659" s="263">
        <v>4000</v>
      </c>
      <c r="H659" s="263">
        <v>250</v>
      </c>
      <c r="I659" s="339">
        <v>5</v>
      </c>
      <c r="J659" s="339">
        <v>1</v>
      </c>
      <c r="K659" s="263">
        <v>12</v>
      </c>
      <c r="L659" s="263">
        <v>24</v>
      </c>
      <c r="M659" s="263">
        <v>36</v>
      </c>
      <c r="N659" s="263">
        <v>48</v>
      </c>
      <c r="O659" s="263">
        <v>35</v>
      </c>
      <c r="P659" s="263">
        <v>70</v>
      </c>
      <c r="Q659" s="263">
        <v>0.99</v>
      </c>
      <c r="R659" s="263">
        <v>0.99</v>
      </c>
      <c r="S659" s="263">
        <v>0.99</v>
      </c>
      <c r="T659" s="263">
        <v>0.99</v>
      </c>
    </row>
    <row r="660" spans="1:20" x14ac:dyDescent="0.25">
      <c r="A660" s="343">
        <v>16</v>
      </c>
      <c r="B660" s="381" t="s">
        <v>338</v>
      </c>
      <c r="C660" s="382" t="s">
        <v>3</v>
      </c>
      <c r="D660" s="353">
        <v>1200</v>
      </c>
      <c r="E660" s="353">
        <v>2400</v>
      </c>
      <c r="F660" s="353"/>
      <c r="G660" s="263">
        <v>4900</v>
      </c>
      <c r="H660" s="263">
        <v>250</v>
      </c>
      <c r="I660" s="339">
        <v>5</v>
      </c>
      <c r="J660" s="339">
        <v>1</v>
      </c>
      <c r="K660" s="263">
        <v>12</v>
      </c>
      <c r="L660" s="263">
        <v>24</v>
      </c>
      <c r="M660" s="263">
        <v>36</v>
      </c>
      <c r="N660" s="263">
        <v>48</v>
      </c>
      <c r="O660" s="263">
        <v>70</v>
      </c>
      <c r="P660" s="263">
        <v>85</v>
      </c>
      <c r="Q660" s="263">
        <v>0.99</v>
      </c>
      <c r="R660" s="263">
        <v>0.99</v>
      </c>
      <c r="S660" s="263">
        <v>0.99</v>
      </c>
      <c r="T660" s="263">
        <v>0.99</v>
      </c>
    </row>
    <row r="661" spans="1:20" x14ac:dyDescent="0.25">
      <c r="A661" s="343">
        <v>17</v>
      </c>
      <c r="B661" s="381" t="s">
        <v>339</v>
      </c>
      <c r="C661" s="382" t="s">
        <v>3</v>
      </c>
      <c r="D661" s="353">
        <v>1450</v>
      </c>
      <c r="E661" s="353">
        <v>2900</v>
      </c>
      <c r="F661" s="353"/>
      <c r="G661" s="263">
        <v>5800</v>
      </c>
      <c r="H661" s="263">
        <v>250</v>
      </c>
      <c r="I661" s="339">
        <v>5</v>
      </c>
      <c r="J661" s="339">
        <v>1</v>
      </c>
      <c r="K661" s="263">
        <v>12</v>
      </c>
      <c r="L661" s="263">
        <v>24</v>
      </c>
      <c r="M661" s="263">
        <v>36</v>
      </c>
      <c r="N661" s="263">
        <v>48</v>
      </c>
      <c r="O661" s="263">
        <v>70</v>
      </c>
      <c r="P661" s="263">
        <v>100</v>
      </c>
      <c r="Q661" s="263">
        <v>0.99</v>
      </c>
      <c r="R661" s="263">
        <v>0.99</v>
      </c>
      <c r="S661" s="263">
        <v>0.99</v>
      </c>
      <c r="T661" s="263">
        <v>0.99</v>
      </c>
    </row>
    <row r="662" spans="1:20" x14ac:dyDescent="0.25">
      <c r="A662" s="343">
        <v>18</v>
      </c>
      <c r="B662" s="381" t="s">
        <v>620</v>
      </c>
      <c r="C662" s="353" t="s">
        <v>621</v>
      </c>
      <c r="D662" s="353"/>
      <c r="E662" s="353"/>
      <c r="F662" s="353"/>
      <c r="G662" s="263">
        <v>6600</v>
      </c>
      <c r="H662" s="263">
        <v>600</v>
      </c>
      <c r="I662" s="339"/>
      <c r="J662" s="339"/>
      <c r="K662" s="263"/>
      <c r="L662" s="263"/>
      <c r="M662" s="263"/>
      <c r="N662" s="263"/>
      <c r="O662" s="263">
        <v>7500</v>
      </c>
      <c r="P662" s="263"/>
      <c r="Q662" s="263"/>
      <c r="R662" s="263"/>
      <c r="S662" s="263"/>
      <c r="T662" s="263"/>
    </row>
    <row r="663" spans="1:20" x14ac:dyDescent="0.25">
      <c r="A663" s="343">
        <v>19</v>
      </c>
      <c r="B663" s="381" t="s">
        <v>622</v>
      </c>
      <c r="C663" s="353" t="s">
        <v>621</v>
      </c>
      <c r="D663" s="353"/>
      <c r="E663" s="353"/>
      <c r="F663" s="353"/>
      <c r="G663" s="263">
        <v>6600</v>
      </c>
      <c r="H663" s="263">
        <v>600</v>
      </c>
      <c r="I663" s="339"/>
      <c r="J663" s="339"/>
      <c r="K663" s="263"/>
      <c r="L663" s="263"/>
      <c r="M663" s="263"/>
      <c r="N663" s="263"/>
      <c r="O663" s="263"/>
      <c r="P663" s="263"/>
      <c r="Q663" s="263"/>
      <c r="R663" s="263"/>
      <c r="S663" s="263"/>
      <c r="T663" s="263"/>
    </row>
    <row r="664" spans="1:20" x14ac:dyDescent="0.25">
      <c r="A664" s="343">
        <v>20</v>
      </c>
      <c r="B664" s="381" t="s">
        <v>643</v>
      </c>
      <c r="C664" s="382" t="s">
        <v>3</v>
      </c>
      <c r="D664" s="353">
        <v>1450</v>
      </c>
      <c r="E664" s="353">
        <v>2900</v>
      </c>
      <c r="F664" s="353"/>
      <c r="G664" s="263">
        <v>11600</v>
      </c>
      <c r="H664" s="263">
        <v>450</v>
      </c>
      <c r="I664" s="339">
        <v>5</v>
      </c>
      <c r="J664" s="339">
        <v>1</v>
      </c>
      <c r="K664" s="263">
        <v>12</v>
      </c>
      <c r="L664" s="263">
        <v>24</v>
      </c>
      <c r="M664" s="263">
        <v>36</v>
      </c>
      <c r="N664" s="263">
        <v>48</v>
      </c>
      <c r="O664" s="263">
        <v>70</v>
      </c>
      <c r="P664" s="263">
        <v>100</v>
      </c>
      <c r="Q664" s="263">
        <v>0.96</v>
      </c>
      <c r="R664" s="263">
        <v>0.96</v>
      </c>
      <c r="S664" s="263">
        <v>0.96</v>
      </c>
      <c r="T664" s="263">
        <v>0.96</v>
      </c>
    </row>
    <row r="665" spans="1:20" x14ac:dyDescent="0.25">
      <c r="A665" s="343">
        <v>21</v>
      </c>
      <c r="B665" s="381" t="s">
        <v>673</v>
      </c>
      <c r="C665" s="382" t="s">
        <v>3</v>
      </c>
      <c r="D665" s="353"/>
      <c r="E665" s="353"/>
      <c r="F665" s="353"/>
      <c r="G665" s="263">
        <v>5800</v>
      </c>
      <c r="H665" s="263">
        <v>450</v>
      </c>
      <c r="I665" s="339">
        <v>5</v>
      </c>
      <c r="J665" s="339">
        <v>1</v>
      </c>
      <c r="K665" s="263"/>
      <c r="L665" s="263"/>
      <c r="M665" s="263"/>
      <c r="N665" s="263">
        <v>48</v>
      </c>
      <c r="O665" s="263">
        <f>G665*1.4</f>
        <v>8119.9999999999991</v>
      </c>
      <c r="P665" s="263">
        <v>100</v>
      </c>
      <c r="Q665" s="263">
        <v>0.96</v>
      </c>
      <c r="R665" s="263">
        <v>0.96</v>
      </c>
      <c r="S665" s="263">
        <v>0.96</v>
      </c>
      <c r="T665" s="263">
        <v>0.96</v>
      </c>
    </row>
    <row r="666" spans="1:20" x14ac:dyDescent="0.25">
      <c r="A666" s="343">
        <v>22</v>
      </c>
      <c r="B666" s="381" t="s">
        <v>674</v>
      </c>
      <c r="C666" s="353" t="s">
        <v>621</v>
      </c>
      <c r="D666" s="353"/>
      <c r="E666" s="353"/>
      <c r="F666" s="353"/>
      <c r="G666" s="263">
        <v>5000</v>
      </c>
      <c r="H666" s="263">
        <v>600</v>
      </c>
      <c r="I666" s="339"/>
      <c r="J666" s="339"/>
      <c r="K666" s="263"/>
      <c r="L666" s="263"/>
      <c r="M666" s="263"/>
      <c r="N666" s="263"/>
      <c r="O666" s="263">
        <v>10000</v>
      </c>
      <c r="P666" s="263"/>
      <c r="Q666" s="263">
        <v>0.98</v>
      </c>
      <c r="R666" s="263">
        <v>0.98</v>
      </c>
      <c r="S666" s="263">
        <v>0.98</v>
      </c>
      <c r="T666" s="263">
        <v>0.98</v>
      </c>
    </row>
    <row r="667" spans="1:20" x14ac:dyDescent="0.25">
      <c r="A667" s="343"/>
      <c r="B667" s="343"/>
      <c r="C667" s="343"/>
      <c r="D667" s="343"/>
      <c r="E667" s="343"/>
      <c r="F667" s="343"/>
    </row>
    <row r="668" spans="1:20" x14ac:dyDescent="0.25">
      <c r="A668" s="343"/>
      <c r="B668" s="343"/>
      <c r="C668" s="343"/>
      <c r="D668" s="343"/>
      <c r="E668" s="343"/>
      <c r="F668" s="343"/>
    </row>
    <row r="669" spans="1:20" x14ac:dyDescent="0.25">
      <c r="A669" s="343"/>
      <c r="B669" s="379" t="s">
        <v>404</v>
      </c>
      <c r="C669" s="380" t="s">
        <v>1</v>
      </c>
      <c r="D669" s="379" t="s">
        <v>78</v>
      </c>
      <c r="E669" s="379" t="s">
        <v>358</v>
      </c>
      <c r="F669" s="379" t="s">
        <v>381</v>
      </c>
      <c r="G669" s="336" t="s">
        <v>423</v>
      </c>
      <c r="H669" s="336" t="s">
        <v>359</v>
      </c>
      <c r="I669" s="336" t="s">
        <v>367</v>
      </c>
      <c r="J669" s="336" t="s">
        <v>353</v>
      </c>
      <c r="K669" s="336" t="s">
        <v>360</v>
      </c>
      <c r="L669" s="336" t="s">
        <v>361</v>
      </c>
      <c r="M669" s="336" t="s">
        <v>362</v>
      </c>
      <c r="N669" s="336" t="s">
        <v>363</v>
      </c>
      <c r="O669" s="336" t="s">
        <v>366</v>
      </c>
      <c r="P669" s="337" t="s">
        <v>45</v>
      </c>
      <c r="Q669" s="337" t="s">
        <v>357</v>
      </c>
      <c r="R669" s="337" t="s">
        <v>365</v>
      </c>
      <c r="S669" s="336" t="s">
        <v>364</v>
      </c>
      <c r="T669" s="337" t="s">
        <v>2</v>
      </c>
    </row>
    <row r="670" spans="1:20" x14ac:dyDescent="0.25">
      <c r="A670" s="343">
        <f t="shared" ref="A670:A680" si="65">F670</f>
        <v>2.4</v>
      </c>
      <c r="B670" s="383" t="s">
        <v>419</v>
      </c>
      <c r="C670" s="382" t="s">
        <v>3</v>
      </c>
      <c r="D670" s="353">
        <v>48</v>
      </c>
      <c r="E670" s="353">
        <v>3000</v>
      </c>
      <c r="F670" s="382">
        <v>2.4</v>
      </c>
      <c r="G670" s="338">
        <v>5.5</v>
      </c>
      <c r="H670" s="338">
        <v>35</v>
      </c>
      <c r="I670" s="338">
        <v>32</v>
      </c>
      <c r="J670" s="263">
        <v>0.95</v>
      </c>
      <c r="K670" s="338">
        <v>11</v>
      </c>
      <c r="L670" s="263">
        <v>7</v>
      </c>
      <c r="M670" s="263">
        <v>2</v>
      </c>
      <c r="N670" s="338" t="s">
        <v>140</v>
      </c>
      <c r="O670" s="338" t="s">
        <v>140</v>
      </c>
      <c r="P670" s="338">
        <v>499</v>
      </c>
      <c r="Q670" s="263">
        <v>268</v>
      </c>
      <c r="R670" s="263">
        <v>141</v>
      </c>
      <c r="S670" s="338">
        <v>18</v>
      </c>
      <c r="T670" s="338">
        <v>1</v>
      </c>
    </row>
    <row r="671" spans="1:20" x14ac:dyDescent="0.25">
      <c r="A671" s="343">
        <f t="shared" si="65"/>
        <v>4</v>
      </c>
      <c r="B671" s="383" t="s">
        <v>420</v>
      </c>
      <c r="C671" s="382" t="s">
        <v>3</v>
      </c>
      <c r="D671" s="353">
        <v>48</v>
      </c>
      <c r="E671" s="353">
        <v>5000</v>
      </c>
      <c r="F671" s="382">
        <v>4</v>
      </c>
      <c r="G671" s="338">
        <v>9</v>
      </c>
      <c r="H671" s="338">
        <v>35</v>
      </c>
      <c r="I671" s="338">
        <v>50</v>
      </c>
      <c r="J671" s="263">
        <v>0.96</v>
      </c>
      <c r="K671" s="338">
        <v>18</v>
      </c>
      <c r="L671" s="263">
        <v>12</v>
      </c>
      <c r="M671" s="263">
        <v>2</v>
      </c>
      <c r="N671" s="338" t="s">
        <v>140</v>
      </c>
      <c r="O671" s="338" t="s">
        <v>140</v>
      </c>
      <c r="P671" s="338">
        <v>560</v>
      </c>
      <c r="Q671" s="263">
        <v>320</v>
      </c>
      <c r="R671" s="263">
        <v>141</v>
      </c>
      <c r="S671" s="338">
        <v>29</v>
      </c>
      <c r="T671" s="338">
        <v>1</v>
      </c>
    </row>
    <row r="672" spans="1:20" x14ac:dyDescent="0.25">
      <c r="A672" s="343">
        <f t="shared" si="65"/>
        <v>1.2</v>
      </c>
      <c r="B672" s="383" t="s">
        <v>700</v>
      </c>
      <c r="C672" s="382" t="s">
        <v>3</v>
      </c>
      <c r="D672" s="353">
        <v>48</v>
      </c>
      <c r="E672" s="353">
        <v>1200</v>
      </c>
      <c r="F672" s="382">
        <v>1.2</v>
      </c>
      <c r="G672" s="338">
        <v>2.2000000000000002</v>
      </c>
      <c r="H672" s="338">
        <v>0</v>
      </c>
      <c r="I672" s="338">
        <v>0</v>
      </c>
      <c r="J672" s="263">
        <v>1</v>
      </c>
      <c r="K672" s="338">
        <v>10</v>
      </c>
      <c r="L672" s="263">
        <v>5</v>
      </c>
      <c r="M672" s="263">
        <v>0</v>
      </c>
      <c r="N672" s="338" t="s">
        <v>140</v>
      </c>
      <c r="O672" s="338" t="s">
        <v>582</v>
      </c>
      <c r="P672" s="338">
        <v>499</v>
      </c>
      <c r="Q672" s="263">
        <f>268*2+100</f>
        <v>636</v>
      </c>
      <c r="R672" s="263">
        <v>141</v>
      </c>
      <c r="S672" s="338">
        <v>14</v>
      </c>
      <c r="T672" s="338">
        <v>1</v>
      </c>
    </row>
    <row r="673" spans="1:20" x14ac:dyDescent="0.25">
      <c r="A673" s="343">
        <f t="shared" si="65"/>
        <v>6.4</v>
      </c>
      <c r="B673" s="383" t="s">
        <v>421</v>
      </c>
      <c r="C673" s="382" t="s">
        <v>3</v>
      </c>
      <c r="D673" s="353">
        <v>48</v>
      </c>
      <c r="E673" s="353">
        <v>8000</v>
      </c>
      <c r="F673" s="382">
        <v>6.4</v>
      </c>
      <c r="G673" s="338">
        <v>15</v>
      </c>
      <c r="H673" s="338">
        <v>100</v>
      </c>
      <c r="I673" s="338">
        <v>50</v>
      </c>
      <c r="J673" s="263">
        <v>0.96</v>
      </c>
      <c r="K673" s="338">
        <v>18</v>
      </c>
      <c r="L673" s="263">
        <v>12</v>
      </c>
      <c r="M673" s="263">
        <v>2</v>
      </c>
      <c r="N673" s="338" t="s">
        <v>140</v>
      </c>
      <c r="O673" s="338" t="s">
        <v>140</v>
      </c>
      <c r="P673" s="338">
        <v>560</v>
      </c>
      <c r="Q673" s="263">
        <v>320</v>
      </c>
      <c r="R673" s="263">
        <v>141</v>
      </c>
      <c r="S673" s="338">
        <v>29</v>
      </c>
      <c r="T673" s="338">
        <v>1</v>
      </c>
    </row>
    <row r="674" spans="1:20" x14ac:dyDescent="0.25">
      <c r="A674" s="343">
        <f t="shared" si="65"/>
        <v>8</v>
      </c>
      <c r="B674" s="383" t="s">
        <v>585</v>
      </c>
      <c r="C674" s="382" t="s">
        <v>3</v>
      </c>
      <c r="D674" s="353">
        <v>48</v>
      </c>
      <c r="E674" s="353">
        <v>10000</v>
      </c>
      <c r="F674" s="382">
        <v>8</v>
      </c>
      <c r="G674" s="338">
        <v>18</v>
      </c>
      <c r="H674" s="338">
        <v>140</v>
      </c>
      <c r="I674" s="338">
        <v>100</v>
      </c>
      <c r="J674" s="263">
        <v>0.96</v>
      </c>
      <c r="K674" s="338">
        <v>38</v>
      </c>
      <c r="L674" s="263">
        <v>27</v>
      </c>
      <c r="M674" s="263">
        <v>4</v>
      </c>
      <c r="N674" s="338" t="s">
        <v>140</v>
      </c>
      <c r="O674" s="338" t="s">
        <v>140</v>
      </c>
      <c r="P674" s="338">
        <v>677</v>
      </c>
      <c r="Q674" s="263">
        <v>363</v>
      </c>
      <c r="R674" s="263">
        <v>206</v>
      </c>
      <c r="S674" s="338">
        <v>49</v>
      </c>
      <c r="T674" s="338">
        <v>1</v>
      </c>
    </row>
    <row r="675" spans="1:20" x14ac:dyDescent="0.25">
      <c r="A675" s="343">
        <f t="shared" si="65"/>
        <v>7.5</v>
      </c>
      <c r="B675" s="383" t="s">
        <v>452</v>
      </c>
      <c r="C675" s="382" t="s">
        <v>453</v>
      </c>
      <c r="D675" s="353">
        <v>48</v>
      </c>
      <c r="E675" s="353">
        <v>7500</v>
      </c>
      <c r="F675" s="382">
        <v>7.5</v>
      </c>
      <c r="G675" s="338">
        <v>18</v>
      </c>
      <c r="H675" s="338">
        <v>156</v>
      </c>
      <c r="I675" s="338">
        <v>32.6</v>
      </c>
      <c r="J675" s="339">
        <v>0.96</v>
      </c>
      <c r="K675" s="338">
        <v>6</v>
      </c>
      <c r="L675" s="263"/>
      <c r="M675" s="263"/>
      <c r="N675" s="338"/>
      <c r="O675" s="338" t="s">
        <v>140</v>
      </c>
      <c r="P675" s="338">
        <v>690</v>
      </c>
      <c r="Q675" s="263">
        <v>375</v>
      </c>
      <c r="R675" s="263">
        <v>220</v>
      </c>
      <c r="S675" s="263">
        <v>42</v>
      </c>
      <c r="T675" s="338">
        <v>1</v>
      </c>
    </row>
    <row r="676" spans="1:20" x14ac:dyDescent="0.25">
      <c r="A676" s="343">
        <f t="shared" si="65"/>
        <v>7.1999999999999993</v>
      </c>
      <c r="B676" s="383" t="s">
        <v>575</v>
      </c>
      <c r="C676" s="382" t="s">
        <v>3</v>
      </c>
      <c r="D676" s="353">
        <v>48</v>
      </c>
      <c r="E676" s="353">
        <v>9000</v>
      </c>
      <c r="F676" s="382">
        <f>2.4*3</f>
        <v>7.1999999999999993</v>
      </c>
      <c r="G676" s="338">
        <v>11</v>
      </c>
      <c r="H676" s="338">
        <v>70</v>
      </c>
      <c r="I676" s="338">
        <v>64</v>
      </c>
      <c r="J676" s="263">
        <v>0.95</v>
      </c>
      <c r="K676" s="338">
        <v>22</v>
      </c>
      <c r="L676" s="263">
        <v>14</v>
      </c>
      <c r="M676" s="263">
        <v>4</v>
      </c>
      <c r="N676" s="338" t="s">
        <v>140</v>
      </c>
      <c r="O676" s="338" t="s">
        <v>140</v>
      </c>
      <c r="P676" s="338">
        <v>499</v>
      </c>
      <c r="Q676" s="263">
        <f>268*2+100</f>
        <v>636</v>
      </c>
      <c r="R676" s="263">
        <v>141</v>
      </c>
      <c r="S676" s="338">
        <f>18*2</f>
        <v>36</v>
      </c>
      <c r="T676" s="338">
        <v>3</v>
      </c>
    </row>
    <row r="677" spans="1:20" x14ac:dyDescent="0.25">
      <c r="A677" s="343">
        <f t="shared" si="65"/>
        <v>12</v>
      </c>
      <c r="B677" s="383" t="s">
        <v>578</v>
      </c>
      <c r="C677" s="382" t="s">
        <v>3</v>
      </c>
      <c r="D677" s="353">
        <v>48</v>
      </c>
      <c r="E677" s="353">
        <v>15000</v>
      </c>
      <c r="F677" s="382">
        <v>12</v>
      </c>
      <c r="G677" s="338">
        <v>27</v>
      </c>
      <c r="H677" s="338">
        <v>210</v>
      </c>
      <c r="I677" s="338">
        <v>150</v>
      </c>
      <c r="J677" s="263">
        <v>0.96</v>
      </c>
      <c r="K677" s="338">
        <v>36</v>
      </c>
      <c r="L677" s="263">
        <v>24</v>
      </c>
      <c r="M677" s="263">
        <v>4</v>
      </c>
      <c r="N677" s="338" t="s">
        <v>140</v>
      </c>
      <c r="O677" s="338" t="s">
        <v>140</v>
      </c>
      <c r="P677" s="338">
        <v>560</v>
      </c>
      <c r="Q677" s="263">
        <f>320*2+100</f>
        <v>740</v>
      </c>
      <c r="R677" s="263">
        <v>141</v>
      </c>
      <c r="S677" s="338">
        <f>29*3</f>
        <v>87</v>
      </c>
      <c r="T677" s="338">
        <v>3</v>
      </c>
    </row>
    <row r="678" spans="1:20" x14ac:dyDescent="0.25">
      <c r="A678" s="343">
        <f t="shared" si="65"/>
        <v>6.4</v>
      </c>
      <c r="B678" s="383" t="s">
        <v>695</v>
      </c>
      <c r="C678" s="382" t="s">
        <v>3</v>
      </c>
      <c r="D678" s="353">
        <v>48</v>
      </c>
      <c r="E678" s="353">
        <v>8000</v>
      </c>
      <c r="F678" s="382">
        <v>6.4</v>
      </c>
      <c r="G678" s="338">
        <v>15</v>
      </c>
      <c r="H678" s="338">
        <v>110</v>
      </c>
      <c r="I678" s="338">
        <v>100</v>
      </c>
      <c r="J678" s="263">
        <v>0.96</v>
      </c>
      <c r="K678" s="338">
        <v>29</v>
      </c>
      <c r="L678" s="263">
        <v>19</v>
      </c>
      <c r="M678" s="263">
        <v>3</v>
      </c>
      <c r="N678" s="338" t="s">
        <v>140</v>
      </c>
      <c r="O678" s="338" t="s">
        <v>582</v>
      </c>
      <c r="P678" s="338">
        <v>642</v>
      </c>
      <c r="Q678" s="263">
        <v>363</v>
      </c>
      <c r="R678" s="263">
        <v>260</v>
      </c>
      <c r="S678" s="338">
        <v>49</v>
      </c>
      <c r="T678" s="338">
        <v>1</v>
      </c>
    </row>
    <row r="679" spans="1:20" x14ac:dyDescent="0.25">
      <c r="A679" s="343">
        <f t="shared" si="65"/>
        <v>12</v>
      </c>
      <c r="B679" s="383" t="s">
        <v>697</v>
      </c>
      <c r="C679" s="382" t="s">
        <v>3</v>
      </c>
      <c r="D679" s="353">
        <v>48</v>
      </c>
      <c r="E679" s="353">
        <v>15000</v>
      </c>
      <c r="F679" s="382">
        <v>12</v>
      </c>
      <c r="G679" s="338">
        <v>25</v>
      </c>
      <c r="H679" s="338">
        <v>200</v>
      </c>
      <c r="I679" s="338">
        <v>100</v>
      </c>
      <c r="J679" s="263">
        <v>0.96</v>
      </c>
      <c r="K679" s="338">
        <v>110</v>
      </c>
      <c r="L679" s="263">
        <v>75</v>
      </c>
      <c r="M679" s="263">
        <v>20</v>
      </c>
      <c r="N679" s="338" t="s">
        <v>140</v>
      </c>
      <c r="O679" s="338" t="s">
        <v>582</v>
      </c>
      <c r="P679" s="338">
        <v>560</v>
      </c>
      <c r="Q679" s="263">
        <v>320</v>
      </c>
      <c r="R679" s="263">
        <v>141</v>
      </c>
      <c r="S679" s="338">
        <v>72</v>
      </c>
      <c r="T679" s="338">
        <v>1</v>
      </c>
    </row>
    <row r="680" spans="1:20" x14ac:dyDescent="0.25">
      <c r="A680" s="343">
        <f t="shared" si="65"/>
        <v>6</v>
      </c>
      <c r="B680" s="383" t="s">
        <v>630</v>
      </c>
      <c r="C680" s="382" t="s">
        <v>631</v>
      </c>
      <c r="D680" s="353">
        <v>48</v>
      </c>
      <c r="E680" s="353">
        <v>8000</v>
      </c>
      <c r="F680" s="382">
        <v>6</v>
      </c>
      <c r="G680" s="338">
        <v>11.5</v>
      </c>
      <c r="H680" s="338">
        <v>140</v>
      </c>
      <c r="I680" s="338">
        <v>100</v>
      </c>
      <c r="J680" s="263">
        <v>0.96</v>
      </c>
      <c r="K680" s="338">
        <v>29</v>
      </c>
      <c r="L680" s="263"/>
      <c r="M680" s="263"/>
      <c r="N680" s="338" t="s">
        <v>140</v>
      </c>
      <c r="O680" s="338" t="s">
        <v>140</v>
      </c>
      <c r="P680" s="338">
        <v>612</v>
      </c>
      <c r="Q680" s="263">
        <v>467</v>
      </c>
      <c r="R680" s="263">
        <v>242</v>
      </c>
      <c r="S680" s="338">
        <v>63</v>
      </c>
      <c r="T680" s="338">
        <v>1</v>
      </c>
    </row>
    <row r="681" spans="1:20" x14ac:dyDescent="0.25">
      <c r="A681" s="343"/>
      <c r="B681" s="343"/>
      <c r="C681" s="343"/>
      <c r="D681" s="343"/>
      <c r="E681" s="343"/>
      <c r="F681" s="343"/>
    </row>
    <row r="682" spans="1:20" x14ac:dyDescent="0.25">
      <c r="A682" s="343"/>
      <c r="B682" s="343"/>
      <c r="C682" s="343"/>
      <c r="D682" s="343"/>
      <c r="E682" s="343"/>
      <c r="F682" s="343"/>
    </row>
    <row r="683" spans="1:20" x14ac:dyDescent="0.25">
      <c r="A683" s="343"/>
      <c r="B683" s="379" t="s">
        <v>405</v>
      </c>
      <c r="C683" s="379" t="s">
        <v>78</v>
      </c>
      <c r="D683" s="379" t="s">
        <v>369</v>
      </c>
      <c r="E683" s="379" t="s">
        <v>370</v>
      </c>
      <c r="F683" s="379" t="s">
        <v>371</v>
      </c>
      <c r="G683" s="336" t="s">
        <v>372</v>
      </c>
      <c r="H683" s="312" t="s">
        <v>374</v>
      </c>
      <c r="I683" s="312" t="s">
        <v>375</v>
      </c>
      <c r="J683" s="312" t="s">
        <v>376</v>
      </c>
      <c r="K683" s="337" t="s">
        <v>45</v>
      </c>
      <c r="L683" s="337" t="s">
        <v>357</v>
      </c>
      <c r="M683" s="337" t="s">
        <v>377</v>
      </c>
      <c r="N683" s="337" t="s">
        <v>356</v>
      </c>
      <c r="O683" s="337" t="s">
        <v>118</v>
      </c>
      <c r="P683" s="337" t="s">
        <v>413</v>
      </c>
      <c r="Q683" s="337" t="s">
        <v>415</v>
      </c>
      <c r="R683" s="337" t="s">
        <v>414</v>
      </c>
      <c r="S683" s="337" t="s">
        <v>416</v>
      </c>
      <c r="T683" s="337" t="s">
        <v>580</v>
      </c>
    </row>
    <row r="684" spans="1:20" x14ac:dyDescent="0.25">
      <c r="A684" s="343">
        <v>1</v>
      </c>
      <c r="B684" s="381" t="s">
        <v>378</v>
      </c>
      <c r="C684" s="353">
        <v>12</v>
      </c>
      <c r="D684" s="353">
        <v>60</v>
      </c>
      <c r="E684" s="382">
        <v>52</v>
      </c>
      <c r="F684" s="382">
        <v>56</v>
      </c>
      <c r="G684" s="263" t="s">
        <v>398</v>
      </c>
      <c r="H684" s="263">
        <v>1200</v>
      </c>
      <c r="I684" s="263">
        <v>850</v>
      </c>
      <c r="J684" s="263">
        <v>300</v>
      </c>
      <c r="K684" s="263">
        <v>336</v>
      </c>
      <c r="L684" s="338">
        <v>172</v>
      </c>
      <c r="M684" s="338">
        <v>280</v>
      </c>
      <c r="N684" s="338">
        <v>45</v>
      </c>
      <c r="O684" s="340">
        <v>1</v>
      </c>
      <c r="P684" s="338">
        <v>14.6</v>
      </c>
      <c r="Q684" s="338">
        <v>0.2</v>
      </c>
      <c r="R684" s="338">
        <v>0.5</v>
      </c>
      <c r="S684" s="338">
        <f>MROUND(E684*0.98*35, 5)</f>
        <v>1785</v>
      </c>
      <c r="T684" s="338" t="s">
        <v>930</v>
      </c>
    </row>
    <row r="685" spans="1:20" x14ac:dyDescent="0.25">
      <c r="A685" s="343">
        <v>2</v>
      </c>
      <c r="B685" s="381" t="s">
        <v>379</v>
      </c>
      <c r="C685" s="353">
        <v>12</v>
      </c>
      <c r="D685" s="353">
        <v>100</v>
      </c>
      <c r="E685" s="382">
        <v>82</v>
      </c>
      <c r="F685" s="382">
        <v>90</v>
      </c>
      <c r="G685" s="263" t="s">
        <v>373</v>
      </c>
      <c r="H685" s="263">
        <v>1200</v>
      </c>
      <c r="I685" s="263">
        <v>850</v>
      </c>
      <c r="J685" s="263">
        <v>300</v>
      </c>
      <c r="K685" s="263">
        <v>336</v>
      </c>
      <c r="L685" s="338">
        <v>172</v>
      </c>
      <c r="M685" s="338">
        <v>280</v>
      </c>
      <c r="N685" s="338">
        <v>45</v>
      </c>
      <c r="O685" s="340">
        <v>1</v>
      </c>
      <c r="P685" s="338">
        <v>14.6</v>
      </c>
      <c r="Q685" s="338">
        <v>0.2</v>
      </c>
      <c r="R685" s="338">
        <v>0.5</v>
      </c>
      <c r="S685" s="338">
        <f>MROUND(E685*0.98*35, 5)</f>
        <v>2815</v>
      </c>
      <c r="T685" s="338" t="s">
        <v>930</v>
      </c>
    </row>
    <row r="686" spans="1:20" x14ac:dyDescent="0.25">
      <c r="A686" s="343">
        <v>3</v>
      </c>
      <c r="B686" s="381" t="s">
        <v>579</v>
      </c>
      <c r="C686" s="353">
        <v>12</v>
      </c>
      <c r="D686" s="353">
        <v>160</v>
      </c>
      <c r="E686" s="382">
        <v>150</v>
      </c>
      <c r="F686" s="382">
        <v>114</v>
      </c>
      <c r="G686" s="263" t="s">
        <v>373</v>
      </c>
      <c r="H686" s="263">
        <v>1200</v>
      </c>
      <c r="I686" s="263">
        <v>850</v>
      </c>
      <c r="J686" s="263">
        <v>300</v>
      </c>
      <c r="K686" s="263">
        <v>336</v>
      </c>
      <c r="L686" s="338">
        <v>172</v>
      </c>
      <c r="M686" s="338">
        <v>280</v>
      </c>
      <c r="N686" s="338">
        <v>45</v>
      </c>
      <c r="O686" s="340">
        <v>1</v>
      </c>
      <c r="P686" s="338">
        <v>14.6</v>
      </c>
      <c r="Q686" s="338">
        <v>0.2</v>
      </c>
      <c r="R686" s="338">
        <v>0.5</v>
      </c>
      <c r="S686" s="338">
        <f>MROUND(E686*0.98*35, 5)</f>
        <v>5145</v>
      </c>
      <c r="T686" s="338" t="s">
        <v>930</v>
      </c>
    </row>
    <row r="687" spans="1:20" x14ac:dyDescent="0.25">
      <c r="A687" s="343">
        <v>4</v>
      </c>
      <c r="B687" s="381" t="s">
        <v>368</v>
      </c>
      <c r="C687" s="353">
        <v>12</v>
      </c>
      <c r="D687" s="353">
        <v>170</v>
      </c>
      <c r="E687" s="382">
        <v>145</v>
      </c>
      <c r="F687" s="382">
        <v>153</v>
      </c>
      <c r="G687" s="263" t="s">
        <v>373</v>
      </c>
      <c r="H687" s="263">
        <v>1200</v>
      </c>
      <c r="I687" s="263">
        <v>850</v>
      </c>
      <c r="J687" s="263">
        <v>300</v>
      </c>
      <c r="K687" s="263">
        <v>336</v>
      </c>
      <c r="L687" s="338">
        <v>172</v>
      </c>
      <c r="M687" s="338">
        <v>280</v>
      </c>
      <c r="N687" s="338">
        <v>45</v>
      </c>
      <c r="O687" s="340">
        <v>1</v>
      </c>
      <c r="P687" s="338">
        <v>14.6</v>
      </c>
      <c r="Q687" s="338">
        <v>0.2</v>
      </c>
      <c r="R687" s="338">
        <v>0.5</v>
      </c>
      <c r="S687" s="338">
        <f>MROUND(E687*0.98*35, 5)</f>
        <v>4975</v>
      </c>
      <c r="T687" s="338" t="s">
        <v>234</v>
      </c>
    </row>
    <row r="688" spans="1:20" x14ac:dyDescent="0.25">
      <c r="A688" s="343">
        <v>5</v>
      </c>
      <c r="B688" s="381" t="s">
        <v>380</v>
      </c>
      <c r="C688" s="353">
        <v>12</v>
      </c>
      <c r="D688" s="353">
        <v>230</v>
      </c>
      <c r="E688" s="382">
        <v>200</v>
      </c>
      <c r="F688" s="382">
        <v>210</v>
      </c>
      <c r="G688" s="263" t="s">
        <v>373</v>
      </c>
      <c r="H688" s="263">
        <v>1200</v>
      </c>
      <c r="I688" s="263">
        <v>850</v>
      </c>
      <c r="J688" s="263">
        <v>300</v>
      </c>
      <c r="K688" s="263">
        <v>336</v>
      </c>
      <c r="L688" s="338">
        <v>172</v>
      </c>
      <c r="M688" s="338">
        <v>280</v>
      </c>
      <c r="N688" s="338">
        <v>45</v>
      </c>
      <c r="O688" s="340">
        <v>1</v>
      </c>
      <c r="P688" s="338">
        <v>14.6</v>
      </c>
      <c r="Q688" s="338">
        <v>0.2</v>
      </c>
      <c r="R688" s="338">
        <v>0.5</v>
      </c>
      <c r="S688" s="338">
        <f>MROUND(E688*0.98*35, 5)</f>
        <v>6860</v>
      </c>
      <c r="T688" s="338" t="s">
        <v>234</v>
      </c>
    </row>
    <row r="689" spans="1:20" x14ac:dyDescent="0.25">
      <c r="A689" s="343">
        <v>6</v>
      </c>
      <c r="B689" s="381" t="s">
        <v>586</v>
      </c>
      <c r="C689" s="353">
        <v>2</v>
      </c>
      <c r="D689" s="353">
        <v>624</v>
      </c>
      <c r="E689" s="382">
        <v>524</v>
      </c>
      <c r="F689" s="382">
        <v>543</v>
      </c>
      <c r="G689" s="263" t="s">
        <v>490</v>
      </c>
      <c r="H689" s="263">
        <v>4000</v>
      </c>
      <c r="I689" s="263">
        <v>3200</v>
      </c>
      <c r="J689" s="263">
        <v>2500</v>
      </c>
      <c r="K689" s="263">
        <v>336</v>
      </c>
      <c r="L689" s="338">
        <v>172</v>
      </c>
      <c r="M689" s="338">
        <v>280</v>
      </c>
      <c r="N689" s="338">
        <v>60</v>
      </c>
      <c r="O689" s="340">
        <v>1</v>
      </c>
      <c r="P689" s="338">
        <v>2.4</v>
      </c>
      <c r="Q689" s="338">
        <v>0.2</v>
      </c>
      <c r="R689" s="338">
        <v>0.4</v>
      </c>
      <c r="S689" s="338">
        <v>4050</v>
      </c>
      <c r="T689" s="338" t="s">
        <v>454</v>
      </c>
    </row>
    <row r="690" spans="1:20" x14ac:dyDescent="0.25">
      <c r="A690" s="343">
        <v>7</v>
      </c>
      <c r="B690" s="381" t="s">
        <v>929</v>
      </c>
      <c r="C690" s="353">
        <v>51</v>
      </c>
      <c r="D690" s="353">
        <v>100</v>
      </c>
      <c r="E690" s="382">
        <v>100</v>
      </c>
      <c r="F690" s="382">
        <v>100</v>
      </c>
      <c r="G690" s="263" t="s">
        <v>373</v>
      </c>
      <c r="H690" s="263">
        <v>10000</v>
      </c>
      <c r="I690" s="263">
        <v>6000</v>
      </c>
      <c r="J690" s="263">
        <v>6000</v>
      </c>
      <c r="K690" s="263">
        <v>570</v>
      </c>
      <c r="L690" s="338">
        <v>420</v>
      </c>
      <c r="M690" s="338">
        <v>132</v>
      </c>
      <c r="N690" s="338">
        <v>35</v>
      </c>
      <c r="O690" s="341">
        <v>1</v>
      </c>
      <c r="P690" s="338">
        <v>58</v>
      </c>
      <c r="Q690" s="338">
        <v>0.5</v>
      </c>
      <c r="R690" s="338">
        <v>1</v>
      </c>
      <c r="S690" s="338">
        <v>200</v>
      </c>
      <c r="T690" s="338" t="s">
        <v>555</v>
      </c>
    </row>
    <row r="691" spans="1:20" x14ac:dyDescent="0.25">
      <c r="A691" s="343">
        <v>8</v>
      </c>
      <c r="B691" s="381" t="s">
        <v>699</v>
      </c>
      <c r="C691" s="353">
        <v>12</v>
      </c>
      <c r="D691" s="353">
        <v>100</v>
      </c>
      <c r="E691" s="382">
        <v>83</v>
      </c>
      <c r="F691" s="382">
        <v>90</v>
      </c>
      <c r="G691" s="263" t="s">
        <v>533</v>
      </c>
      <c r="H691" s="263">
        <v>1800</v>
      </c>
      <c r="I691" s="263">
        <v>1500</v>
      </c>
      <c r="J691" s="263">
        <v>1300</v>
      </c>
      <c r="K691" s="263">
        <v>306</v>
      </c>
      <c r="L691" s="338">
        <v>168</v>
      </c>
      <c r="M691" s="338">
        <v>211</v>
      </c>
      <c r="N691" s="338">
        <v>28</v>
      </c>
      <c r="O691" s="340">
        <v>1</v>
      </c>
      <c r="P691" s="338">
        <v>14.4</v>
      </c>
      <c r="Q691" s="338">
        <v>0.2</v>
      </c>
      <c r="R691" s="338">
        <v>0.3</v>
      </c>
      <c r="S691" s="338">
        <f>35*D691</f>
        <v>3500</v>
      </c>
      <c r="T691" s="338" t="s">
        <v>581</v>
      </c>
    </row>
    <row r="692" spans="1:20" x14ac:dyDescent="0.25">
      <c r="A692" s="343">
        <v>9</v>
      </c>
      <c r="B692" s="381" t="s">
        <v>583</v>
      </c>
      <c r="C692" s="353">
        <v>12</v>
      </c>
      <c r="D692" s="353">
        <v>120</v>
      </c>
      <c r="E692" s="382">
        <v>95</v>
      </c>
      <c r="F692" s="382">
        <v>90</v>
      </c>
      <c r="G692" s="263" t="s">
        <v>533</v>
      </c>
      <c r="H692" s="263">
        <v>1800</v>
      </c>
      <c r="I692" s="263">
        <v>1500</v>
      </c>
      <c r="J692" s="263">
        <v>1300</v>
      </c>
      <c r="K692" s="263">
        <v>306</v>
      </c>
      <c r="L692" s="338">
        <v>168</v>
      </c>
      <c r="M692" s="338">
        <v>211</v>
      </c>
      <c r="N692" s="338">
        <v>28</v>
      </c>
      <c r="O692" s="340">
        <v>1</v>
      </c>
      <c r="P692" s="338">
        <v>14.4</v>
      </c>
      <c r="Q692" s="338">
        <v>0.2</v>
      </c>
      <c r="R692" s="338">
        <v>0.3</v>
      </c>
      <c r="S692" s="338">
        <f>35*D692</f>
        <v>4200</v>
      </c>
      <c r="T692" s="338" t="s">
        <v>581</v>
      </c>
    </row>
    <row r="693" spans="1:20" x14ac:dyDescent="0.25">
      <c r="A693" s="343">
        <v>10</v>
      </c>
      <c r="B693" s="381" t="s">
        <v>584</v>
      </c>
      <c r="C693" s="353">
        <v>12</v>
      </c>
      <c r="D693" s="353">
        <v>218</v>
      </c>
      <c r="E693" s="382">
        <v>184</v>
      </c>
      <c r="F693" s="382">
        <v>200</v>
      </c>
      <c r="G693" s="263" t="s">
        <v>373</v>
      </c>
      <c r="H693" s="263">
        <v>1800</v>
      </c>
      <c r="I693" s="263">
        <v>1500</v>
      </c>
      <c r="J693" s="263">
        <v>1300</v>
      </c>
      <c r="K693" s="263">
        <v>522</v>
      </c>
      <c r="L693" s="338">
        <v>240</v>
      </c>
      <c r="M693" s="338">
        <v>219</v>
      </c>
      <c r="N693" s="338">
        <v>61</v>
      </c>
      <c r="O693" s="340">
        <v>1</v>
      </c>
      <c r="P693" s="338">
        <v>14.4</v>
      </c>
      <c r="Q693" s="338">
        <v>0.2</v>
      </c>
      <c r="R693" s="338">
        <v>0.3</v>
      </c>
      <c r="S693" s="338">
        <v>7000</v>
      </c>
      <c r="T693" s="338" t="s">
        <v>581</v>
      </c>
    </row>
    <row r="694" spans="1:20" x14ac:dyDescent="0.25">
      <c r="A694" s="343">
        <v>11</v>
      </c>
      <c r="B694" s="381" t="s">
        <v>640</v>
      </c>
      <c r="C694" s="353">
        <v>52</v>
      </c>
      <c r="D694" s="353">
        <v>57.8</v>
      </c>
      <c r="E694" s="382">
        <v>58</v>
      </c>
      <c r="F694" s="382">
        <v>58</v>
      </c>
      <c r="G694" s="263" t="s">
        <v>641</v>
      </c>
      <c r="H694" s="263">
        <v>10000</v>
      </c>
      <c r="I694" s="263">
        <v>10000</v>
      </c>
      <c r="J694" s="263">
        <v>2500</v>
      </c>
      <c r="K694" s="263">
        <v>570</v>
      </c>
      <c r="L694" s="338">
        <v>420</v>
      </c>
      <c r="M694" s="338">
        <v>88</v>
      </c>
      <c r="N694" s="338">
        <v>35</v>
      </c>
      <c r="O694" s="341">
        <v>1</v>
      </c>
      <c r="P694" s="338">
        <v>58</v>
      </c>
      <c r="Q694" s="338">
        <v>0.5</v>
      </c>
      <c r="R694" s="338">
        <v>1</v>
      </c>
      <c r="S694" s="338">
        <v>200</v>
      </c>
      <c r="T694" s="338" t="s">
        <v>555</v>
      </c>
    </row>
    <row r="695" spans="1:20" x14ac:dyDescent="0.25">
      <c r="A695" s="343">
        <v>12</v>
      </c>
      <c r="B695" s="381" t="s">
        <v>571</v>
      </c>
      <c r="C695" s="353">
        <v>51.2</v>
      </c>
      <c r="D695" s="353">
        <v>78</v>
      </c>
      <c r="E695" s="382">
        <v>78</v>
      </c>
      <c r="F695" s="382">
        <v>78</v>
      </c>
      <c r="G695" s="263" t="s">
        <v>554</v>
      </c>
      <c r="H695" s="263"/>
      <c r="I695" s="263">
        <v>10000</v>
      </c>
      <c r="J695" s="263">
        <v>2700</v>
      </c>
      <c r="K695" s="263">
        <v>635</v>
      </c>
      <c r="L695" s="263">
        <v>434</v>
      </c>
      <c r="M695" s="263">
        <v>88</v>
      </c>
      <c r="N695" s="263">
        <v>41</v>
      </c>
      <c r="O695" s="341">
        <v>0.8</v>
      </c>
      <c r="P695" s="338">
        <v>56</v>
      </c>
      <c r="Q695" s="338">
        <v>0.5</v>
      </c>
      <c r="R695" s="342">
        <f>63/78</f>
        <v>0.80769230769230771</v>
      </c>
      <c r="S695" s="338">
        <v>200</v>
      </c>
      <c r="T695" s="338" t="s">
        <v>555</v>
      </c>
    </row>
    <row r="696" spans="1:20" x14ac:dyDescent="0.25">
      <c r="A696" s="343">
        <v>13</v>
      </c>
      <c r="B696" s="381" t="s">
        <v>572</v>
      </c>
      <c r="C696" s="353">
        <v>51.2</v>
      </c>
      <c r="D696" s="353">
        <v>64</v>
      </c>
      <c r="E696" s="382">
        <v>64</v>
      </c>
      <c r="F696" s="382">
        <v>64</v>
      </c>
      <c r="G696" s="263" t="s">
        <v>554</v>
      </c>
      <c r="H696" s="263"/>
      <c r="I696" s="263">
        <v>10000</v>
      </c>
      <c r="J696" s="263">
        <v>2700</v>
      </c>
      <c r="K696" s="263">
        <v>635</v>
      </c>
      <c r="L696" s="263">
        <v>434</v>
      </c>
      <c r="M696" s="263">
        <v>88</v>
      </c>
      <c r="N696" s="263">
        <v>41</v>
      </c>
      <c r="O696" s="341">
        <v>0.8</v>
      </c>
      <c r="P696" s="338">
        <v>56</v>
      </c>
      <c r="Q696" s="338">
        <v>0.93</v>
      </c>
      <c r="R696" s="338">
        <v>1.07</v>
      </c>
      <c r="S696" s="338">
        <v>200</v>
      </c>
      <c r="T696" s="338" t="s">
        <v>555</v>
      </c>
    </row>
    <row r="697" spans="1:20" x14ac:dyDescent="0.25">
      <c r="A697" s="343">
        <v>14</v>
      </c>
      <c r="B697" s="381" t="s">
        <v>597</v>
      </c>
      <c r="C697" s="353">
        <v>2</v>
      </c>
      <c r="D697" s="353">
        <v>958</v>
      </c>
      <c r="E697" s="382">
        <v>795</v>
      </c>
      <c r="F697" s="382">
        <v>895</v>
      </c>
      <c r="G697" s="263" t="s">
        <v>490</v>
      </c>
      <c r="H697" s="263">
        <v>4000</v>
      </c>
      <c r="I697" s="263">
        <v>2600</v>
      </c>
      <c r="J697" s="263">
        <v>1200</v>
      </c>
      <c r="K697" s="263">
        <v>210</v>
      </c>
      <c r="L697" s="338">
        <v>191</v>
      </c>
      <c r="M697" s="338">
        <v>657</v>
      </c>
      <c r="N697" s="338">
        <v>66.5</v>
      </c>
      <c r="O697" s="340">
        <v>1</v>
      </c>
      <c r="P697" s="338">
        <v>2.4</v>
      </c>
      <c r="Q697" s="338">
        <v>0.2</v>
      </c>
      <c r="R697" s="338">
        <v>0.4</v>
      </c>
      <c r="S697" s="338">
        <v>4550</v>
      </c>
      <c r="T697" s="338" t="s">
        <v>454</v>
      </c>
    </row>
    <row r="698" spans="1:20" x14ac:dyDescent="0.25">
      <c r="A698" s="343">
        <v>15</v>
      </c>
      <c r="B698" s="381" t="s">
        <v>574</v>
      </c>
      <c r="C698" s="353">
        <v>2</v>
      </c>
      <c r="D698" s="353">
        <v>636</v>
      </c>
      <c r="E698" s="382">
        <v>517</v>
      </c>
      <c r="F698" s="382">
        <v>600</v>
      </c>
      <c r="G698" s="263" t="s">
        <v>373</v>
      </c>
      <c r="H698" s="263">
        <v>4000</v>
      </c>
      <c r="I698" s="263">
        <v>2500</v>
      </c>
      <c r="J698" s="263">
        <v>900</v>
      </c>
      <c r="K698" s="263">
        <v>191</v>
      </c>
      <c r="L698" s="338">
        <v>210</v>
      </c>
      <c r="M698" s="338">
        <v>681</v>
      </c>
      <c r="N698" s="338">
        <v>60</v>
      </c>
      <c r="O698" s="340">
        <v>0.95</v>
      </c>
      <c r="P698" s="338">
        <v>2.4</v>
      </c>
      <c r="Q698" s="338">
        <v>0.2</v>
      </c>
      <c r="R698" s="338">
        <v>0.4</v>
      </c>
      <c r="S698" s="338">
        <v>4300</v>
      </c>
      <c r="T698" s="338" t="s">
        <v>454</v>
      </c>
    </row>
    <row r="699" spans="1:20" x14ac:dyDescent="0.25">
      <c r="A699" s="343">
        <v>16</v>
      </c>
      <c r="B699" s="381" t="s">
        <v>702</v>
      </c>
      <c r="C699" s="353">
        <v>48</v>
      </c>
      <c r="D699" s="353">
        <v>100</v>
      </c>
      <c r="E699" s="382">
        <v>100</v>
      </c>
      <c r="F699" s="382">
        <v>100</v>
      </c>
      <c r="G699" s="263" t="s">
        <v>373</v>
      </c>
      <c r="H699" s="263">
        <v>10000</v>
      </c>
      <c r="I699" s="263">
        <v>3500</v>
      </c>
      <c r="J699" s="263">
        <v>2000</v>
      </c>
      <c r="K699" s="263">
        <v>442</v>
      </c>
      <c r="L699" s="338">
        <v>450</v>
      </c>
      <c r="M699" s="338">
        <v>132</v>
      </c>
      <c r="N699" s="338">
        <v>32</v>
      </c>
      <c r="O699" s="340">
        <v>0.98</v>
      </c>
      <c r="P699" s="338">
        <v>54</v>
      </c>
      <c r="Q699" s="338">
        <v>0.5</v>
      </c>
      <c r="R699" s="338">
        <v>1</v>
      </c>
      <c r="S699" s="338">
        <v>2500</v>
      </c>
      <c r="T699" s="338" t="s">
        <v>555</v>
      </c>
    </row>
    <row r="700" spans="1:20" x14ac:dyDescent="0.25">
      <c r="A700" s="343"/>
      <c r="B700" s="343"/>
      <c r="C700" s="343"/>
      <c r="D700" s="343"/>
      <c r="E700" s="343"/>
      <c r="F700" s="343"/>
    </row>
    <row r="701" spans="1:20" x14ac:dyDescent="0.25">
      <c r="A701" s="343"/>
      <c r="B701" s="343"/>
      <c r="C701" s="343"/>
      <c r="D701" s="343"/>
      <c r="E701" s="343"/>
      <c r="F701" s="343"/>
    </row>
    <row r="702" spans="1:20" x14ac:dyDescent="0.25">
      <c r="A702" s="343"/>
      <c r="B702" s="379" t="s">
        <v>407</v>
      </c>
      <c r="C702" s="379" t="s">
        <v>346</v>
      </c>
      <c r="D702" s="379" t="s">
        <v>347</v>
      </c>
      <c r="E702" s="379" t="s">
        <v>348</v>
      </c>
      <c r="F702" s="379" t="s">
        <v>349</v>
      </c>
      <c r="G702" s="336" t="s">
        <v>350</v>
      </c>
      <c r="H702" s="336" t="s">
        <v>351</v>
      </c>
      <c r="I702" s="336" t="s">
        <v>352</v>
      </c>
      <c r="J702" s="336" t="s">
        <v>353</v>
      </c>
      <c r="K702" s="336" t="s">
        <v>354</v>
      </c>
      <c r="L702" s="336" t="s">
        <v>355</v>
      </c>
      <c r="M702" s="279" t="s">
        <v>344</v>
      </c>
      <c r="N702" s="279" t="s">
        <v>690</v>
      </c>
      <c r="O702" s="279" t="s">
        <v>164</v>
      </c>
      <c r="P702" s="279" t="s">
        <v>393</v>
      </c>
      <c r="Q702" s="337" t="s">
        <v>45</v>
      </c>
      <c r="R702" s="337" t="s">
        <v>357</v>
      </c>
      <c r="S702" s="337" t="s">
        <v>48</v>
      </c>
      <c r="T702" s="337" t="s">
        <v>356</v>
      </c>
    </row>
    <row r="703" spans="1:20" x14ac:dyDescent="0.25">
      <c r="A703" s="343">
        <v>1</v>
      </c>
      <c r="B703" s="384" t="str">
        <f>C703&amp;" "&amp;E703&amp;"W "&amp;O703&amp;" "&amp;P703</f>
        <v>Trina 415W Mono PERC</v>
      </c>
      <c r="C703" s="353" t="s">
        <v>160</v>
      </c>
      <c r="D703" s="353" t="s">
        <v>698</v>
      </c>
      <c r="E703" s="382">
        <v>415</v>
      </c>
      <c r="F703" s="385">
        <v>41.7</v>
      </c>
      <c r="G703" s="263">
        <v>9.94</v>
      </c>
      <c r="H703" s="339">
        <v>50</v>
      </c>
      <c r="I703" s="263">
        <v>10.55</v>
      </c>
      <c r="J703" s="263">
        <v>20.8</v>
      </c>
      <c r="K703" s="263">
        <v>20</v>
      </c>
      <c r="L703" s="338">
        <v>5</v>
      </c>
      <c r="M703" s="338">
        <v>-0.25</v>
      </c>
      <c r="N703" s="338">
        <v>-0.34</v>
      </c>
      <c r="O703" s="263" t="s">
        <v>392</v>
      </c>
      <c r="P703" s="263" t="s">
        <v>394</v>
      </c>
      <c r="Q703" s="263">
        <v>1762</v>
      </c>
      <c r="R703" s="338">
        <v>1134</v>
      </c>
      <c r="S703" s="338">
        <v>30</v>
      </c>
      <c r="T703" s="338">
        <v>21.8</v>
      </c>
    </row>
    <row r="704" spans="1:20" x14ac:dyDescent="0.25">
      <c r="A704" s="343">
        <v>2</v>
      </c>
      <c r="B704" s="384" t="str">
        <f>C704&amp;" "&amp;E704&amp;"W "&amp;O704&amp;" "&amp;P704</f>
        <v>Trina 400W Mono PERC</v>
      </c>
      <c r="C704" s="353" t="s">
        <v>160</v>
      </c>
      <c r="D704" s="353" t="s">
        <v>642</v>
      </c>
      <c r="E704" s="382">
        <v>400</v>
      </c>
      <c r="F704" s="385">
        <v>34.200000000000003</v>
      </c>
      <c r="G704" s="263">
        <v>11.7</v>
      </c>
      <c r="H704" s="339">
        <v>41.2</v>
      </c>
      <c r="I704" s="263">
        <v>12.28</v>
      </c>
      <c r="J704" s="263">
        <v>21.1</v>
      </c>
      <c r="K704" s="263">
        <v>20</v>
      </c>
      <c r="L704" s="338">
        <v>5</v>
      </c>
      <c r="M704" s="338">
        <v>-0.25</v>
      </c>
      <c r="N704" s="338">
        <v>-0.34</v>
      </c>
      <c r="O704" s="263" t="s">
        <v>392</v>
      </c>
      <c r="P704" s="263" t="s">
        <v>394</v>
      </c>
      <c r="Q704" s="263">
        <v>1754</v>
      </c>
      <c r="R704" s="338">
        <v>1096</v>
      </c>
      <c r="S704" s="338">
        <v>30</v>
      </c>
      <c r="T704" s="338">
        <v>21</v>
      </c>
    </row>
    <row r="705" spans="1:26" x14ac:dyDescent="0.25">
      <c r="A705" s="343">
        <v>3</v>
      </c>
      <c r="B705" s="384" t="s">
        <v>451</v>
      </c>
      <c r="C705" s="353" t="s">
        <v>160</v>
      </c>
      <c r="D705" s="353" t="s">
        <v>450</v>
      </c>
      <c r="E705" s="382">
        <v>255</v>
      </c>
      <c r="F705" s="385">
        <v>30.29</v>
      </c>
      <c r="G705" s="263">
        <v>8.42</v>
      </c>
      <c r="H705" s="339">
        <v>37.89</v>
      </c>
      <c r="I705" s="263">
        <v>9</v>
      </c>
      <c r="J705" s="263">
        <v>15.67</v>
      </c>
      <c r="K705" s="263">
        <v>15</v>
      </c>
      <c r="L705" s="338">
        <v>5</v>
      </c>
      <c r="M705" s="338">
        <v>-0.129</v>
      </c>
      <c r="N705" s="338">
        <v>-0.3</v>
      </c>
      <c r="O705" s="263" t="s">
        <v>392</v>
      </c>
      <c r="P705" s="263" t="s">
        <v>394</v>
      </c>
      <c r="Q705" s="263">
        <v>1698</v>
      </c>
      <c r="R705" s="338">
        <v>1004</v>
      </c>
      <c r="S705" s="338">
        <v>35</v>
      </c>
      <c r="T705" s="338">
        <v>18.7</v>
      </c>
    </row>
    <row r="706" spans="1:26" x14ac:dyDescent="0.25">
      <c r="A706" s="343">
        <v>4</v>
      </c>
      <c r="B706" s="384" t="s">
        <v>529</v>
      </c>
      <c r="C706" s="353" t="s">
        <v>530</v>
      </c>
      <c r="D706" s="353" t="s">
        <v>531</v>
      </c>
      <c r="E706" s="382">
        <v>400</v>
      </c>
      <c r="F706" s="382">
        <v>41.6</v>
      </c>
      <c r="G706" s="263">
        <v>9.6199999999999992</v>
      </c>
      <c r="H706" s="339">
        <v>49.1</v>
      </c>
      <c r="I706" s="339">
        <v>10.1</v>
      </c>
      <c r="J706" s="263">
        <v>19.809999999999999</v>
      </c>
      <c r="K706" s="263">
        <v>20</v>
      </c>
      <c r="L706" s="338">
        <v>5</v>
      </c>
      <c r="M706" s="338">
        <v>-0.28000000000000003</v>
      </c>
      <c r="N706" s="338">
        <v>-0.3</v>
      </c>
      <c r="O706" s="263" t="s">
        <v>392</v>
      </c>
      <c r="P706" s="263" t="s">
        <v>394</v>
      </c>
      <c r="Q706" s="263">
        <v>2015</v>
      </c>
      <c r="R706" s="338">
        <v>1002</v>
      </c>
      <c r="S706" s="338">
        <v>40</v>
      </c>
      <c r="T706" s="338">
        <v>23</v>
      </c>
    </row>
    <row r="707" spans="1:26" x14ac:dyDescent="0.25">
      <c r="A707" s="343">
        <v>5</v>
      </c>
      <c r="B707" s="384" t="s">
        <v>532</v>
      </c>
      <c r="C707" s="353" t="s">
        <v>530</v>
      </c>
      <c r="D707" s="353" t="s">
        <v>531</v>
      </c>
      <c r="E707" s="382">
        <v>330</v>
      </c>
      <c r="F707" s="382">
        <v>34.4</v>
      </c>
      <c r="G707" s="263">
        <v>9.6</v>
      </c>
      <c r="H707" s="339">
        <v>40.799999999999997</v>
      </c>
      <c r="I707" s="339">
        <v>10.11</v>
      </c>
      <c r="J707" s="263">
        <v>19.489999999999998</v>
      </c>
      <c r="K707" s="263">
        <v>20</v>
      </c>
      <c r="L707" s="338">
        <v>5</v>
      </c>
      <c r="M707" s="338">
        <v>-0.28000000000000003</v>
      </c>
      <c r="N707" s="338">
        <v>-0.3</v>
      </c>
      <c r="O707" s="263" t="s">
        <v>392</v>
      </c>
      <c r="P707" s="263" t="s">
        <v>394</v>
      </c>
      <c r="Q707" s="263">
        <v>1690</v>
      </c>
      <c r="R707" s="338">
        <v>1002</v>
      </c>
      <c r="S707" s="338">
        <v>35</v>
      </c>
      <c r="T707" s="338">
        <v>19</v>
      </c>
    </row>
    <row r="708" spans="1:26" x14ac:dyDescent="0.25">
      <c r="A708" s="343">
        <v>6</v>
      </c>
      <c r="B708" s="384" t="s">
        <v>568</v>
      </c>
      <c r="C708" s="353" t="s">
        <v>569</v>
      </c>
      <c r="D708" s="353" t="s">
        <v>570</v>
      </c>
      <c r="E708" s="382">
        <v>190</v>
      </c>
      <c r="F708" s="382">
        <v>36</v>
      </c>
      <c r="G708" s="263">
        <v>8.1</v>
      </c>
      <c r="H708" s="339">
        <v>44</v>
      </c>
      <c r="I708" s="339">
        <v>5.7</v>
      </c>
      <c r="J708" s="263">
        <v>15</v>
      </c>
      <c r="K708" s="263">
        <v>15</v>
      </c>
      <c r="L708" s="338">
        <v>5</v>
      </c>
      <c r="M708" s="338">
        <v>-0.28000000000000003</v>
      </c>
      <c r="N708" s="338">
        <v>-0.3</v>
      </c>
      <c r="O708" s="263" t="s">
        <v>392</v>
      </c>
      <c r="P708" s="263" t="s">
        <v>394</v>
      </c>
      <c r="Q708" s="263">
        <v>1580</v>
      </c>
      <c r="R708" s="338">
        <v>808</v>
      </c>
      <c r="S708" s="338">
        <v>35</v>
      </c>
      <c r="T708" s="338">
        <v>16</v>
      </c>
    </row>
    <row r="709" spans="1:26" x14ac:dyDescent="0.25">
      <c r="A709" s="343">
        <v>7</v>
      </c>
      <c r="B709" s="384" t="str">
        <f>C709&amp;" "&amp;E709&amp;"W "&amp;O709&amp;" "&amp;P709</f>
        <v>Trina 390W Mono PERC</v>
      </c>
      <c r="C709" s="353" t="s">
        <v>160</v>
      </c>
      <c r="D709" s="353" t="s">
        <v>596</v>
      </c>
      <c r="E709" s="382">
        <v>390</v>
      </c>
      <c r="F709" s="385">
        <v>33.799999999999997</v>
      </c>
      <c r="G709" s="263">
        <v>11.54</v>
      </c>
      <c r="H709" s="339">
        <v>40.799999999999997</v>
      </c>
      <c r="I709" s="263">
        <v>12.14</v>
      </c>
      <c r="J709" s="263">
        <v>20.3</v>
      </c>
      <c r="K709" s="263">
        <v>20</v>
      </c>
      <c r="L709" s="338">
        <v>5</v>
      </c>
      <c r="M709" s="338">
        <v>-0.25</v>
      </c>
      <c r="N709" s="338">
        <v>-0.3</v>
      </c>
      <c r="O709" s="263" t="s">
        <v>392</v>
      </c>
      <c r="P709" s="263" t="s">
        <v>394</v>
      </c>
      <c r="Q709" s="263">
        <v>1754</v>
      </c>
      <c r="R709" s="338">
        <v>1096</v>
      </c>
      <c r="S709" s="338">
        <v>30</v>
      </c>
      <c r="T709" s="338">
        <v>21</v>
      </c>
    </row>
    <row r="710" spans="1:26" x14ac:dyDescent="0.25">
      <c r="A710" s="343">
        <v>8</v>
      </c>
      <c r="B710" s="384" t="str">
        <f>C710&amp;" "&amp;E710&amp;"W "&amp;O710&amp;" "&amp;P710</f>
        <v>Trina 415W Mono PERC</v>
      </c>
      <c r="C710" s="353" t="s">
        <v>160</v>
      </c>
      <c r="D710" s="353" t="s">
        <v>696</v>
      </c>
      <c r="E710" s="382">
        <v>415</v>
      </c>
      <c r="F710" s="385">
        <v>41.7</v>
      </c>
      <c r="G710" s="263">
        <v>9.94</v>
      </c>
      <c r="H710" s="339">
        <v>50</v>
      </c>
      <c r="I710" s="263">
        <v>10.55</v>
      </c>
      <c r="J710" s="263">
        <v>20.8</v>
      </c>
      <c r="K710" s="263">
        <v>20</v>
      </c>
      <c r="L710" s="338">
        <v>5</v>
      </c>
      <c r="M710" s="338">
        <v>-0.25</v>
      </c>
      <c r="N710" s="338">
        <v>-0.34</v>
      </c>
      <c r="O710" s="263" t="s">
        <v>392</v>
      </c>
      <c r="P710" s="263" t="s">
        <v>394</v>
      </c>
      <c r="Q710" s="263">
        <v>1762</v>
      </c>
      <c r="R710" s="338">
        <v>1134</v>
      </c>
      <c r="S710" s="338">
        <v>30</v>
      </c>
      <c r="T710" s="338">
        <v>22</v>
      </c>
    </row>
    <row r="711" spans="1:26" x14ac:dyDescent="0.25">
      <c r="A711" s="343">
        <v>9</v>
      </c>
      <c r="B711" s="384" t="str">
        <f>C711&amp;" "&amp;E711&amp;"W "&amp;O711&amp;" "&amp;P711</f>
        <v xml:space="preserve">Trina 250W Mono </v>
      </c>
      <c r="C711" s="353" t="s">
        <v>160</v>
      </c>
      <c r="D711" s="353" t="s">
        <v>634</v>
      </c>
      <c r="E711" s="382">
        <v>250</v>
      </c>
      <c r="F711" s="385">
        <v>30.3</v>
      </c>
      <c r="G711" s="263">
        <v>8.27</v>
      </c>
      <c r="H711" s="339">
        <v>38</v>
      </c>
      <c r="I711" s="263">
        <v>8.7899999999999991</v>
      </c>
      <c r="J711" s="263">
        <v>15.3</v>
      </c>
      <c r="K711" s="263">
        <v>15</v>
      </c>
      <c r="L711" s="338">
        <v>5</v>
      </c>
      <c r="M711" s="338">
        <v>-0.32</v>
      </c>
      <c r="N711" s="338">
        <v>-0.3</v>
      </c>
      <c r="O711" s="263" t="s">
        <v>392</v>
      </c>
      <c r="P711" s="263"/>
      <c r="Q711" s="263">
        <v>1650</v>
      </c>
      <c r="R711" s="338">
        <v>941</v>
      </c>
      <c r="S711" s="338">
        <v>40</v>
      </c>
      <c r="T711" s="338">
        <v>19.5</v>
      </c>
    </row>
    <row r="712" spans="1:26" x14ac:dyDescent="0.25">
      <c r="A712" s="343">
        <v>10</v>
      </c>
      <c r="B712" s="384" t="str">
        <f>C712&amp;" "&amp;E712&amp;"W "&amp;O712&amp;" "&amp;P712</f>
        <v>Sunpower 410W Mono PERC</v>
      </c>
      <c r="C712" s="353" t="s">
        <v>633</v>
      </c>
      <c r="D712" s="353" t="s">
        <v>635</v>
      </c>
      <c r="E712" s="382">
        <v>410</v>
      </c>
      <c r="F712" s="382">
        <v>44.5</v>
      </c>
      <c r="G712" s="263">
        <v>9.2100000000000009</v>
      </c>
      <c r="H712" s="339">
        <v>53.9</v>
      </c>
      <c r="I712" s="339">
        <v>9.89</v>
      </c>
      <c r="J712" s="263">
        <v>19.899999999999999</v>
      </c>
      <c r="K712" s="263">
        <v>18</v>
      </c>
      <c r="L712" s="338">
        <v>5</v>
      </c>
      <c r="M712" s="338">
        <v>-0.28999999999999998</v>
      </c>
      <c r="N712" s="338">
        <v>-0.3</v>
      </c>
      <c r="O712" s="263" t="s">
        <v>392</v>
      </c>
      <c r="P712" s="263" t="s">
        <v>394</v>
      </c>
      <c r="Q712" s="263">
        <v>2066</v>
      </c>
      <c r="R712" s="338">
        <v>998</v>
      </c>
      <c r="S712" s="338">
        <v>40</v>
      </c>
      <c r="T712" s="338">
        <v>22.3</v>
      </c>
    </row>
    <row r="713" spans="1:26" x14ac:dyDescent="0.25">
      <c r="A713" s="343"/>
      <c r="B713" s="343"/>
      <c r="C713" s="343"/>
      <c r="D713" s="343"/>
      <c r="E713" s="343"/>
      <c r="F713" s="348"/>
    </row>
    <row r="714" spans="1:26" x14ac:dyDescent="0.25">
      <c r="A714" s="343"/>
      <c r="B714" s="343"/>
      <c r="C714" s="343"/>
      <c r="D714" s="343"/>
      <c r="E714" s="343"/>
      <c r="F714" s="348"/>
    </row>
    <row r="715" spans="1:26" x14ac:dyDescent="0.25">
      <c r="A715" s="343"/>
      <c r="B715" s="343"/>
      <c r="C715" s="343"/>
      <c r="D715" s="343"/>
      <c r="E715" s="343"/>
      <c r="F715" s="348"/>
    </row>
    <row r="716" spans="1:26" ht="20.25" x14ac:dyDescent="0.3">
      <c r="A716" s="343"/>
      <c r="B716" s="345" t="s">
        <v>838</v>
      </c>
      <c r="C716" s="343"/>
      <c r="D716" s="343"/>
      <c r="E716" s="343"/>
      <c r="F716" s="348"/>
    </row>
    <row r="717" spans="1:26" x14ac:dyDescent="0.25">
      <c r="A717" s="343"/>
      <c r="B717" s="343"/>
      <c r="C717" s="343"/>
      <c r="D717" s="343"/>
      <c r="E717" s="343"/>
      <c r="F717" s="343"/>
    </row>
    <row r="718" spans="1:26" x14ac:dyDescent="0.25">
      <c r="A718" s="343"/>
      <c r="B718" s="343"/>
      <c r="C718" s="343"/>
      <c r="D718" s="343"/>
      <c r="E718" s="343"/>
      <c r="F718" s="343"/>
    </row>
    <row r="719" spans="1:26" x14ac:dyDescent="0.25">
      <c r="A719" s="343"/>
      <c r="B719" s="343"/>
      <c r="C719" s="343"/>
      <c r="D719" s="343"/>
      <c r="E719" s="343"/>
      <c r="F719" s="343"/>
    </row>
    <row r="720" spans="1:26" x14ac:dyDescent="0.25">
      <c r="A720" s="343"/>
      <c r="B720" s="379" t="s">
        <v>409</v>
      </c>
      <c r="C720" s="379" t="s">
        <v>387</v>
      </c>
      <c r="D720" s="379" t="s">
        <v>388</v>
      </c>
      <c r="E720" s="379" t="s">
        <v>389</v>
      </c>
      <c r="F720" s="379" t="s">
        <v>161</v>
      </c>
      <c r="G720" s="336" t="s">
        <v>449</v>
      </c>
      <c r="H720" s="336" t="s">
        <v>390</v>
      </c>
      <c r="I720" s="336" t="s">
        <v>390</v>
      </c>
      <c r="J720" s="336" t="s">
        <v>349</v>
      </c>
      <c r="K720" s="336" t="s">
        <v>350</v>
      </c>
      <c r="L720" s="336" t="s">
        <v>351</v>
      </c>
      <c r="M720" s="336" t="s">
        <v>352</v>
      </c>
      <c r="N720" s="336" t="s">
        <v>353</v>
      </c>
      <c r="O720" s="336" t="s">
        <v>354</v>
      </c>
      <c r="P720" s="336" t="s">
        <v>355</v>
      </c>
      <c r="Q720" s="279" t="s">
        <v>344</v>
      </c>
      <c r="R720" s="279" t="s">
        <v>345</v>
      </c>
      <c r="S720" s="279" t="s">
        <v>391</v>
      </c>
      <c r="T720" s="337" t="s">
        <v>45</v>
      </c>
      <c r="U720" s="337" t="s">
        <v>357</v>
      </c>
      <c r="V720" s="337" t="s">
        <v>48</v>
      </c>
      <c r="W720" s="337" t="s">
        <v>356</v>
      </c>
      <c r="X720" s="279" t="s">
        <v>395</v>
      </c>
      <c r="Y720" s="336" t="s">
        <v>110</v>
      </c>
      <c r="Z720" s="336" t="s">
        <v>448</v>
      </c>
    </row>
    <row r="721" spans="1:26" x14ac:dyDescent="0.25">
      <c r="A721" s="343">
        <v>1</v>
      </c>
      <c r="B721" s="386">
        <f t="shared" ref="B721:B733" si="66">H721/1000</f>
        <v>0</v>
      </c>
      <c r="C721" s="353"/>
      <c r="D721" s="353"/>
      <c r="E721" s="382"/>
      <c r="F721" s="382"/>
      <c r="G721" s="338"/>
      <c r="H721" s="263"/>
      <c r="I721" s="263"/>
      <c r="J721" s="263"/>
      <c r="K721" s="263"/>
      <c r="L721" s="263"/>
      <c r="M721" s="263"/>
      <c r="N721" s="263"/>
      <c r="O721" s="263"/>
      <c r="P721" s="263"/>
      <c r="Q721" s="263"/>
      <c r="R721" s="263"/>
      <c r="S721" s="263"/>
      <c r="T721" s="263"/>
      <c r="U721" s="263"/>
      <c r="V721" s="263"/>
      <c r="W721" s="263"/>
      <c r="X721" s="263"/>
      <c r="Y721" s="263"/>
      <c r="Z721" s="263"/>
    </row>
    <row r="722" spans="1:26" x14ac:dyDescent="0.25">
      <c r="A722" s="343">
        <v>2</v>
      </c>
      <c r="B722" s="386">
        <f>H722/1000</f>
        <v>1.5</v>
      </c>
      <c r="C722" s="353">
        <v>9</v>
      </c>
      <c r="D722" s="353">
        <f>VLOOKUP(C722, '-calcs-'!$A$703:$T$712, 5, FALSE)</f>
        <v>250</v>
      </c>
      <c r="E722" s="382">
        <v>3</v>
      </c>
      <c r="F722" s="382">
        <v>2</v>
      </c>
      <c r="G722" s="338">
        <f>E722*F722</f>
        <v>6</v>
      </c>
      <c r="H722" s="263">
        <f>D722*E722*F722</f>
        <v>1500</v>
      </c>
      <c r="I722" s="263">
        <f>E722*F722*H722</f>
        <v>9000</v>
      </c>
      <c r="J722" s="263">
        <f>VLOOKUP($C722, '-calcs-'!$A$703:$T$712, 6, FALSE)</f>
        <v>30.3</v>
      </c>
      <c r="K722" s="263">
        <f>VLOOKUP($C722, '-calcs-'!$A$703:$T$712, 7, FALSE)</f>
        <v>8.27</v>
      </c>
      <c r="L722" s="263">
        <f>VLOOKUP($C722, '-calcs-'!$A$703:$T$712, 8, FALSE)</f>
        <v>38</v>
      </c>
      <c r="M722" s="263">
        <f>VLOOKUP($C722, '-calcs-'!$A$703:$T$712, 9, FALSE)</f>
        <v>8.7899999999999991</v>
      </c>
      <c r="N722" s="263">
        <f>VLOOKUP($C722, '-calcs-'!$A$703:$T$712, 10, FALSE)</f>
        <v>15.3</v>
      </c>
      <c r="O722" s="263">
        <f>VLOOKUP($C722, '-calcs-'!$A$703:$T$712, 11, FALSE)</f>
        <v>15</v>
      </c>
      <c r="P722" s="263">
        <f>VLOOKUP($C722, '-calcs-'!$A$703:$T$712, 12, FALSE)</f>
        <v>5</v>
      </c>
      <c r="Q722" s="263">
        <f>VLOOKUP($C722, '-calcs-'!$A$703:$T$712, 13, FALSE)</f>
        <v>-0.32</v>
      </c>
      <c r="R722" s="263">
        <f>VLOOKUP($C722, '-calcs-'!$A$703:$T$712, 14, FALSE)</f>
        <v>-0.3</v>
      </c>
      <c r="S722" s="263">
        <v>25</v>
      </c>
      <c r="T722" s="263">
        <f>VLOOKUP($C722, '-calcs-'!$A$703:$T$712, 17, FALSE)</f>
        <v>1650</v>
      </c>
      <c r="U722" s="263">
        <f>VLOOKUP($C722, '-calcs-'!$A$703:$T$712, 18, FALSE)</f>
        <v>941</v>
      </c>
      <c r="V722" s="263">
        <f>VLOOKUP($C722, '-calcs-'!$A$703:$T$712, 19, FALSE)</f>
        <v>40</v>
      </c>
      <c r="W722" s="263">
        <f>VLOOKUP($C722, '-calcs-'!$A$703:$T$712, 20, FALSE)</f>
        <v>19.5</v>
      </c>
      <c r="X722" s="263">
        <f>E722*L722</f>
        <v>114</v>
      </c>
      <c r="Y722" s="263">
        <v>18</v>
      </c>
      <c r="Z722" s="263">
        <v>1</v>
      </c>
    </row>
    <row r="723" spans="1:26" x14ac:dyDescent="0.25">
      <c r="A723" s="343">
        <v>3</v>
      </c>
      <c r="B723" s="386">
        <f t="shared" si="66"/>
        <v>3.2</v>
      </c>
      <c r="C723" s="353">
        <v>2</v>
      </c>
      <c r="D723" s="353">
        <f>VLOOKUP(C723, '-calcs-'!$A$703:$T$712, 5, FALSE)</f>
        <v>400</v>
      </c>
      <c r="E723" s="382">
        <v>8</v>
      </c>
      <c r="F723" s="382">
        <v>1</v>
      </c>
      <c r="G723" s="338">
        <f t="shared" ref="G723:G733" si="67">E723*F723</f>
        <v>8</v>
      </c>
      <c r="H723" s="263">
        <f t="shared" ref="H723:H733" si="68">D723*E723*F723</f>
        <v>3200</v>
      </c>
      <c r="I723" s="263">
        <f t="shared" ref="I723:I733" si="69">E723*F723*H723</f>
        <v>25600</v>
      </c>
      <c r="J723" s="263">
        <f>VLOOKUP($C723, '-calcs-'!$A$703:$T$712, 6, FALSE)</f>
        <v>34.200000000000003</v>
      </c>
      <c r="K723" s="263">
        <f>VLOOKUP($C723, '-calcs-'!$A$703:$T$712, 7, FALSE)</f>
        <v>11.7</v>
      </c>
      <c r="L723" s="263">
        <f>VLOOKUP($C723, '-calcs-'!$A$703:$T$712, 8, FALSE)</f>
        <v>41.2</v>
      </c>
      <c r="M723" s="263">
        <f>VLOOKUP($C723, '-calcs-'!$A$703:$T$712, 9, FALSE)</f>
        <v>12.28</v>
      </c>
      <c r="N723" s="263">
        <f>VLOOKUP($C723, '-calcs-'!$A$703:$T$712, 10, FALSE)</f>
        <v>21.1</v>
      </c>
      <c r="O723" s="263">
        <f>VLOOKUP($C723, '-calcs-'!$A$703:$T$712, 11, FALSE)</f>
        <v>20</v>
      </c>
      <c r="P723" s="263">
        <f>VLOOKUP($C723, '-calcs-'!$A$703:$T$712, 12, FALSE)</f>
        <v>5</v>
      </c>
      <c r="Q723" s="263">
        <f>VLOOKUP($C723, '-calcs-'!$A$703:$T$712, 13, FALSE)</f>
        <v>-0.25</v>
      </c>
      <c r="R723" s="263">
        <f>VLOOKUP($C723, '-calcs-'!$A$703:$T$712, 14, FALSE)</f>
        <v>-0.34</v>
      </c>
      <c r="S723" s="263">
        <v>25</v>
      </c>
      <c r="T723" s="263">
        <f>VLOOKUP($C723, '-calcs-'!$A$703:$T$712, 17, FALSE)</f>
        <v>1754</v>
      </c>
      <c r="U723" s="263">
        <f>VLOOKUP($C723, '-calcs-'!$A$703:$T$712, 18, FALSE)</f>
        <v>1096</v>
      </c>
      <c r="V723" s="263">
        <f>VLOOKUP($C723, '-calcs-'!$A$703:$T$712, 19, FALSE)</f>
        <v>30</v>
      </c>
      <c r="W723" s="263">
        <f>VLOOKUP($C723, '-calcs-'!$A$703:$T$712, 20, FALSE)</f>
        <v>21</v>
      </c>
      <c r="X723" s="263">
        <f t="shared" ref="X723:X733" si="70">E723*L723</f>
        <v>329.6</v>
      </c>
      <c r="Y723" s="263">
        <v>13</v>
      </c>
      <c r="Z723" s="263">
        <v>1</v>
      </c>
    </row>
    <row r="724" spans="1:26" x14ac:dyDescent="0.25">
      <c r="A724" s="343">
        <v>4</v>
      </c>
      <c r="B724" s="386">
        <f>H724/1000</f>
        <v>3.8</v>
      </c>
      <c r="C724" s="353">
        <v>6</v>
      </c>
      <c r="D724" s="353">
        <f>VLOOKUP(C724, '-calcs-'!$A$703:$T$712, 5, FALSE)</f>
        <v>190</v>
      </c>
      <c r="E724" s="382">
        <v>2</v>
      </c>
      <c r="F724" s="382">
        <v>10</v>
      </c>
      <c r="G724" s="338">
        <f>E724*F724</f>
        <v>20</v>
      </c>
      <c r="H724" s="263">
        <f>D724*E724*F724</f>
        <v>3800</v>
      </c>
      <c r="I724" s="263">
        <f>E724*F724*H724</f>
        <v>76000</v>
      </c>
      <c r="J724" s="263">
        <f>VLOOKUP($C724, '-calcs-'!$A$703:$T$712, 6, FALSE)</f>
        <v>36</v>
      </c>
      <c r="K724" s="263">
        <f>VLOOKUP($C724, '-calcs-'!$A$703:$T$712, 7, FALSE)</f>
        <v>8.1</v>
      </c>
      <c r="L724" s="263">
        <f>VLOOKUP($C724, '-calcs-'!$A$703:$T$712, 8, FALSE)</f>
        <v>44</v>
      </c>
      <c r="M724" s="263">
        <f>VLOOKUP($C724, '-calcs-'!$A$703:$T$712, 9, FALSE)</f>
        <v>5.7</v>
      </c>
      <c r="N724" s="263">
        <f>VLOOKUP($C724, '-calcs-'!$A$703:$T$712, 10, FALSE)</f>
        <v>15</v>
      </c>
      <c r="O724" s="263">
        <f>VLOOKUP($C724, '-calcs-'!$A$703:$T$712, 11, FALSE)</f>
        <v>15</v>
      </c>
      <c r="P724" s="263">
        <f>VLOOKUP($C724, '-calcs-'!$A$703:$T$712, 12, FALSE)</f>
        <v>5</v>
      </c>
      <c r="Q724" s="263">
        <f>VLOOKUP($C724, '-calcs-'!$A$703:$T$712, 13, FALSE)</f>
        <v>-0.28000000000000003</v>
      </c>
      <c r="R724" s="263">
        <f>VLOOKUP($C724, '-calcs-'!$A$703:$T$712, 14, FALSE)</f>
        <v>-0.3</v>
      </c>
      <c r="S724" s="263">
        <v>25</v>
      </c>
      <c r="T724" s="263">
        <f>VLOOKUP($C724, '-calcs-'!$A$703:$T$712, 17, FALSE)</f>
        <v>1580</v>
      </c>
      <c r="U724" s="263">
        <f>VLOOKUP($C724, '-calcs-'!$A$703:$T$712, 18, FALSE)</f>
        <v>808</v>
      </c>
      <c r="V724" s="263">
        <f>VLOOKUP($C724, '-calcs-'!$A$703:$T$712, 19, FALSE)</f>
        <v>35</v>
      </c>
      <c r="W724" s="263">
        <f>VLOOKUP($C724, '-calcs-'!$A$703:$T$712, 20, FALSE)</f>
        <v>16</v>
      </c>
      <c r="X724" s="263">
        <f>E724*L724</f>
        <v>88</v>
      </c>
      <c r="Y724" s="263">
        <v>13</v>
      </c>
      <c r="Z724" s="263">
        <v>1</v>
      </c>
    </row>
    <row r="725" spans="1:26" x14ac:dyDescent="0.25">
      <c r="A725" s="343">
        <v>5</v>
      </c>
      <c r="B725" s="386">
        <f>H725/1000</f>
        <v>4.08</v>
      </c>
      <c r="C725" s="353">
        <v>3</v>
      </c>
      <c r="D725" s="353">
        <f>VLOOKUP(C725, '-calcs-'!$A$703:$T$712, 5, FALSE)</f>
        <v>255</v>
      </c>
      <c r="E725" s="382">
        <v>4</v>
      </c>
      <c r="F725" s="382">
        <v>4</v>
      </c>
      <c r="G725" s="338">
        <f>E725*F725</f>
        <v>16</v>
      </c>
      <c r="H725" s="263">
        <f>D725*E725*F725</f>
        <v>4080</v>
      </c>
      <c r="I725" s="263">
        <f>E725*F725*H725</f>
        <v>65280</v>
      </c>
      <c r="J725" s="263">
        <f>VLOOKUP($C725, '-calcs-'!$A$703:$T$712, 6, FALSE)</f>
        <v>30.29</v>
      </c>
      <c r="K725" s="263">
        <f>VLOOKUP($C725, '-calcs-'!$A$703:$T$712, 7, FALSE)</f>
        <v>8.42</v>
      </c>
      <c r="L725" s="263">
        <f>VLOOKUP($C725, '-calcs-'!$A$703:$T$712, 8, FALSE)</f>
        <v>37.89</v>
      </c>
      <c r="M725" s="263">
        <f>VLOOKUP($C725, '-calcs-'!$A$703:$T$712, 9, FALSE)</f>
        <v>9</v>
      </c>
      <c r="N725" s="263">
        <f>VLOOKUP($C725, '-calcs-'!$A$703:$T$712, 10, FALSE)</f>
        <v>15.67</v>
      </c>
      <c r="O725" s="263">
        <f>VLOOKUP($C725, '-calcs-'!$A$703:$T$712, 11, FALSE)</f>
        <v>15</v>
      </c>
      <c r="P725" s="263">
        <f>VLOOKUP($C725, '-calcs-'!$A$703:$T$712, 12, FALSE)</f>
        <v>5</v>
      </c>
      <c r="Q725" s="263">
        <f>VLOOKUP($C725, '-calcs-'!$A$703:$T$712, 13, FALSE)</f>
        <v>-0.129</v>
      </c>
      <c r="R725" s="263">
        <f>VLOOKUP($C725, '-calcs-'!$A$703:$T$712, 14, FALSE)</f>
        <v>-0.3</v>
      </c>
      <c r="S725" s="263">
        <v>25</v>
      </c>
      <c r="T725" s="263">
        <f>VLOOKUP($C725, '-calcs-'!$A$703:$T$712, 17, FALSE)</f>
        <v>1698</v>
      </c>
      <c r="U725" s="263">
        <f>VLOOKUP($C725, '-calcs-'!$A$703:$T$712, 18, FALSE)</f>
        <v>1004</v>
      </c>
      <c r="V725" s="263">
        <f>VLOOKUP($C725, '-calcs-'!$A$703:$T$712, 19, FALSE)</f>
        <v>35</v>
      </c>
      <c r="W725" s="263">
        <f>VLOOKUP($C725, '-calcs-'!$A$703:$T$712, 20, FALSE)</f>
        <v>18.7</v>
      </c>
      <c r="X725" s="263">
        <f>E725*L725</f>
        <v>151.56</v>
      </c>
      <c r="Y725" s="263">
        <v>16</v>
      </c>
      <c r="Z725" s="263">
        <v>1</v>
      </c>
    </row>
    <row r="726" spans="1:26" x14ac:dyDescent="0.25">
      <c r="A726" s="343">
        <v>6</v>
      </c>
      <c r="B726" s="387">
        <f>H726/1000</f>
        <v>4.92</v>
      </c>
      <c r="C726" s="353">
        <v>10</v>
      </c>
      <c r="D726" s="353">
        <f>VLOOKUP(C726, '-calcs-'!$A$703:$T$712, 5, FALSE)</f>
        <v>410</v>
      </c>
      <c r="E726" s="382">
        <v>6</v>
      </c>
      <c r="F726" s="382">
        <v>2</v>
      </c>
      <c r="G726" s="338">
        <f>E726*F726</f>
        <v>12</v>
      </c>
      <c r="H726" s="263">
        <f>D726*E726*F726</f>
        <v>4920</v>
      </c>
      <c r="I726" s="263">
        <f>E726*F726*H726</f>
        <v>59040</v>
      </c>
      <c r="J726" s="263">
        <f>VLOOKUP($C726, '-calcs-'!$A$703:$T$712, 6, FALSE)</f>
        <v>44.5</v>
      </c>
      <c r="K726" s="263">
        <f>VLOOKUP($C726, '-calcs-'!$A$703:$T$712, 7, FALSE)</f>
        <v>9.2100000000000009</v>
      </c>
      <c r="L726" s="263">
        <f>VLOOKUP($C726, '-calcs-'!$A$703:$T$712, 8, FALSE)</f>
        <v>53.9</v>
      </c>
      <c r="M726" s="263">
        <f>VLOOKUP($C726, '-calcs-'!$A$703:$T$712, 9, FALSE)</f>
        <v>9.89</v>
      </c>
      <c r="N726" s="263">
        <f>VLOOKUP($C726, '-calcs-'!$A$703:$T$712, 10, FALSE)</f>
        <v>19.899999999999999</v>
      </c>
      <c r="O726" s="263">
        <f>VLOOKUP($C726, '-calcs-'!$A$703:$T$712, 11, FALSE)</f>
        <v>18</v>
      </c>
      <c r="P726" s="263">
        <f>VLOOKUP($C726, '-calcs-'!$A$703:$T$712, 12, FALSE)</f>
        <v>5</v>
      </c>
      <c r="Q726" s="263">
        <f>VLOOKUP($C726, '-calcs-'!$A$703:$T$712, 13, FALSE)</f>
        <v>-0.28999999999999998</v>
      </c>
      <c r="R726" s="263">
        <f>VLOOKUP($C726, '-calcs-'!$A$703:$T$712, 14, FALSE)</f>
        <v>-0.3</v>
      </c>
      <c r="S726" s="263">
        <v>25</v>
      </c>
      <c r="T726" s="263">
        <f>VLOOKUP($C726, '-calcs-'!$A$703:$T$712, 17, FALSE)</f>
        <v>2066</v>
      </c>
      <c r="U726" s="263">
        <f>VLOOKUP($C726, '-calcs-'!$A$703:$T$712, 18, FALSE)</f>
        <v>998</v>
      </c>
      <c r="V726" s="263">
        <f>VLOOKUP($C726, '-calcs-'!$A$703:$T$712, 19, FALSE)</f>
        <v>40</v>
      </c>
      <c r="W726" s="263">
        <f>VLOOKUP($C726, '-calcs-'!$A$703:$T$712, 20, FALSE)</f>
        <v>22.3</v>
      </c>
      <c r="X726" s="263">
        <f>E726*L726</f>
        <v>323.39999999999998</v>
      </c>
      <c r="Y726" s="263">
        <v>18</v>
      </c>
      <c r="Z726" s="263">
        <v>1</v>
      </c>
    </row>
    <row r="727" spans="1:26" x14ac:dyDescent="0.25">
      <c r="A727" s="343">
        <v>7</v>
      </c>
      <c r="B727" s="386">
        <f>H727/1000</f>
        <v>5.6</v>
      </c>
      <c r="C727" s="353">
        <v>2</v>
      </c>
      <c r="D727" s="353">
        <f>VLOOKUP(C727, '-calcs-'!$A$703:$T$712, 5, FALSE)</f>
        <v>400</v>
      </c>
      <c r="E727" s="382">
        <v>7</v>
      </c>
      <c r="F727" s="382">
        <v>2</v>
      </c>
      <c r="G727" s="338">
        <f>E727*F727</f>
        <v>14</v>
      </c>
      <c r="H727" s="263">
        <f>D727*E727*F727</f>
        <v>5600</v>
      </c>
      <c r="I727" s="263">
        <f>E727*F727*H727</f>
        <v>78400</v>
      </c>
      <c r="J727" s="263">
        <f>VLOOKUP($C727, '-calcs-'!$A$703:$T$712, 6, FALSE)</f>
        <v>34.200000000000003</v>
      </c>
      <c r="K727" s="263">
        <f>VLOOKUP($C727, '-calcs-'!$A$703:$T$712, 7, FALSE)</f>
        <v>11.7</v>
      </c>
      <c r="L727" s="263">
        <f>VLOOKUP($C727, '-calcs-'!$A$703:$T$712, 8, FALSE)</f>
        <v>41.2</v>
      </c>
      <c r="M727" s="263">
        <f>VLOOKUP($C727, '-calcs-'!$A$703:$T$712, 9, FALSE)</f>
        <v>12.28</v>
      </c>
      <c r="N727" s="263">
        <f>VLOOKUP($C727, '-calcs-'!$A$703:$T$712, 10, FALSE)</f>
        <v>21.1</v>
      </c>
      <c r="O727" s="263">
        <f>VLOOKUP($C727, '-calcs-'!$A$703:$T$712, 11, FALSE)</f>
        <v>20</v>
      </c>
      <c r="P727" s="263">
        <f>VLOOKUP($C727, '-calcs-'!$A$703:$T$712, 12, FALSE)</f>
        <v>5</v>
      </c>
      <c r="Q727" s="263">
        <f>VLOOKUP($C727, '-calcs-'!$A$703:$T$712, 13, FALSE)</f>
        <v>-0.25</v>
      </c>
      <c r="R727" s="263">
        <f>VLOOKUP($C727, '-calcs-'!$A$703:$T$712, 14, FALSE)</f>
        <v>-0.34</v>
      </c>
      <c r="S727" s="263">
        <v>25</v>
      </c>
      <c r="T727" s="263">
        <f>VLOOKUP($C727, '-calcs-'!$A$703:$T$712, 17, FALSE)</f>
        <v>1754</v>
      </c>
      <c r="U727" s="263">
        <f>VLOOKUP($C727, '-calcs-'!$A$703:$T$712, 18, FALSE)</f>
        <v>1096</v>
      </c>
      <c r="V727" s="263">
        <f>VLOOKUP($C727, '-calcs-'!$A$703:$T$712, 19, FALSE)</f>
        <v>30</v>
      </c>
      <c r="W727" s="263">
        <f>VLOOKUP($C727, '-calcs-'!$A$703:$T$712, 20, FALSE)</f>
        <v>21</v>
      </c>
      <c r="X727" s="263">
        <f>E727*L727</f>
        <v>288.40000000000003</v>
      </c>
      <c r="Y727" s="263">
        <v>21</v>
      </c>
      <c r="Z727" s="263">
        <v>1</v>
      </c>
    </row>
    <row r="728" spans="1:26" x14ac:dyDescent="0.25">
      <c r="A728" s="343">
        <v>8</v>
      </c>
      <c r="B728" s="386">
        <f t="shared" si="66"/>
        <v>6.64</v>
      </c>
      <c r="C728" s="353">
        <v>1</v>
      </c>
      <c r="D728" s="353">
        <f>VLOOKUP(C728, '-calcs-'!$A$703:$T$712, 5, FALSE)</f>
        <v>415</v>
      </c>
      <c r="E728" s="382">
        <v>8</v>
      </c>
      <c r="F728" s="382">
        <v>2</v>
      </c>
      <c r="G728" s="338">
        <f t="shared" si="67"/>
        <v>16</v>
      </c>
      <c r="H728" s="263">
        <f t="shared" si="68"/>
        <v>6640</v>
      </c>
      <c r="I728" s="263">
        <f t="shared" si="69"/>
        <v>106240</v>
      </c>
      <c r="J728" s="263">
        <f>VLOOKUP($C728, '-calcs-'!$A$703:$T$712, 6, FALSE)</f>
        <v>41.7</v>
      </c>
      <c r="K728" s="263">
        <f>VLOOKUP($C728, '-calcs-'!$A$703:$T$712, 7, FALSE)</f>
        <v>9.94</v>
      </c>
      <c r="L728" s="263">
        <f>VLOOKUP($C728, '-calcs-'!$A$703:$T$712, 8, FALSE)</f>
        <v>50</v>
      </c>
      <c r="M728" s="263">
        <f>VLOOKUP($C728, '-calcs-'!$A$703:$T$712, 9, FALSE)</f>
        <v>10.55</v>
      </c>
      <c r="N728" s="263">
        <f>VLOOKUP($C728, '-calcs-'!$A$703:$T$712, 10, FALSE)</f>
        <v>20.8</v>
      </c>
      <c r="O728" s="263">
        <f>VLOOKUP($C728, '-calcs-'!$A$703:$T$712, 11, FALSE)</f>
        <v>20</v>
      </c>
      <c r="P728" s="263">
        <f>VLOOKUP($C728, '-calcs-'!$A$703:$T$712, 12, FALSE)</f>
        <v>5</v>
      </c>
      <c r="Q728" s="263">
        <f>VLOOKUP($C728, '-calcs-'!$A$703:$T$712, 13, FALSE)</f>
        <v>-0.25</v>
      </c>
      <c r="R728" s="263">
        <f>VLOOKUP($C728, '-calcs-'!$A$703:$T$712, 14, FALSE)</f>
        <v>-0.34</v>
      </c>
      <c r="S728" s="263">
        <v>25</v>
      </c>
      <c r="T728" s="263">
        <f>VLOOKUP($C728, '-calcs-'!$A$703:$T$712, 17, FALSE)</f>
        <v>1762</v>
      </c>
      <c r="U728" s="263">
        <f>VLOOKUP($C728, '-calcs-'!$A$703:$T$712, 18, FALSE)</f>
        <v>1134</v>
      </c>
      <c r="V728" s="263">
        <f>VLOOKUP($C728, '-calcs-'!$A$703:$T$712, 19, FALSE)</f>
        <v>30</v>
      </c>
      <c r="W728" s="263">
        <f>VLOOKUP($C728, '-calcs-'!$A$703:$T$712, 20, FALSE)</f>
        <v>21.8</v>
      </c>
      <c r="X728" s="263">
        <f t="shared" si="70"/>
        <v>400</v>
      </c>
      <c r="Y728" s="263">
        <v>21</v>
      </c>
      <c r="Z728" s="263">
        <v>1</v>
      </c>
    </row>
    <row r="729" spans="1:26" x14ac:dyDescent="0.25">
      <c r="A729" s="343">
        <v>9</v>
      </c>
      <c r="B729" s="386">
        <f>H729/1000</f>
        <v>7.2</v>
      </c>
      <c r="C729" s="353">
        <v>2</v>
      </c>
      <c r="D729" s="353">
        <f>VLOOKUP(C729, '-calcs-'!$A$703:$T$712, 5, FALSE)</f>
        <v>400</v>
      </c>
      <c r="E729" s="382">
        <v>9</v>
      </c>
      <c r="F729" s="382">
        <v>2</v>
      </c>
      <c r="G729" s="338">
        <f>E729*F729</f>
        <v>18</v>
      </c>
      <c r="H729" s="263">
        <f>D729*E729*F729</f>
        <v>7200</v>
      </c>
      <c r="I729" s="263">
        <f>E729*F729*H729</f>
        <v>129600</v>
      </c>
      <c r="J729" s="263">
        <f>VLOOKUP($C729, '-calcs-'!$A$703:$T$712, 6, FALSE)</f>
        <v>34.200000000000003</v>
      </c>
      <c r="K729" s="263">
        <f>VLOOKUP($C729, '-calcs-'!$A$703:$T$712, 7, FALSE)</f>
        <v>11.7</v>
      </c>
      <c r="L729" s="263">
        <f>VLOOKUP($C729, '-calcs-'!$A$703:$T$712, 8, FALSE)</f>
        <v>41.2</v>
      </c>
      <c r="M729" s="263">
        <f>VLOOKUP($C729, '-calcs-'!$A$703:$T$712, 9, FALSE)</f>
        <v>12.28</v>
      </c>
      <c r="N729" s="263">
        <f>VLOOKUP($C729, '-calcs-'!$A$703:$T$712, 10, FALSE)</f>
        <v>21.1</v>
      </c>
      <c r="O729" s="263">
        <f>VLOOKUP($C729, '-calcs-'!$A$703:$T$712, 11, FALSE)</f>
        <v>20</v>
      </c>
      <c r="P729" s="263">
        <f>VLOOKUP($C729, '-calcs-'!$A$703:$T$712, 12, FALSE)</f>
        <v>5</v>
      </c>
      <c r="Q729" s="263">
        <f>VLOOKUP($C729, '-calcs-'!$A$703:$T$712, 13, FALSE)</f>
        <v>-0.25</v>
      </c>
      <c r="R729" s="263">
        <f>VLOOKUP($C729, '-calcs-'!$A$703:$T$712, 14, FALSE)</f>
        <v>-0.34</v>
      </c>
      <c r="S729" s="263">
        <v>25</v>
      </c>
      <c r="T729" s="263">
        <f>VLOOKUP($C729, '-calcs-'!$A$703:$T$712, 17, FALSE)</f>
        <v>1754</v>
      </c>
      <c r="U729" s="263">
        <f>VLOOKUP($C729, '-calcs-'!$A$703:$T$712, 18, FALSE)</f>
        <v>1096</v>
      </c>
      <c r="V729" s="263">
        <f>VLOOKUP($C729, '-calcs-'!$A$703:$T$712, 19, FALSE)</f>
        <v>30</v>
      </c>
      <c r="W729" s="263">
        <f>VLOOKUP($C729, '-calcs-'!$A$703:$T$712, 20, FALSE)</f>
        <v>21</v>
      </c>
      <c r="X729" s="263">
        <f>E729*L729</f>
        <v>370.8</v>
      </c>
      <c r="Y729" s="263">
        <v>21</v>
      </c>
      <c r="Z729" s="263">
        <v>1</v>
      </c>
    </row>
    <row r="730" spans="1:26" x14ac:dyDescent="0.25">
      <c r="A730" s="343">
        <v>10</v>
      </c>
      <c r="B730" s="386">
        <f t="shared" si="66"/>
        <v>8</v>
      </c>
      <c r="C730" s="353">
        <v>2</v>
      </c>
      <c r="D730" s="353">
        <f>VLOOKUP(C730, '-calcs-'!$A$703:$T$712, 5, FALSE)</f>
        <v>400</v>
      </c>
      <c r="E730" s="382">
        <v>10</v>
      </c>
      <c r="F730" s="382">
        <v>2</v>
      </c>
      <c r="G730" s="338">
        <f t="shared" si="67"/>
        <v>20</v>
      </c>
      <c r="H730" s="263">
        <f t="shared" si="68"/>
        <v>8000</v>
      </c>
      <c r="I730" s="263">
        <f t="shared" si="69"/>
        <v>160000</v>
      </c>
      <c r="J730" s="263">
        <f>VLOOKUP($C730, '-calcs-'!$A$703:$T$712, 6, FALSE)</f>
        <v>34.200000000000003</v>
      </c>
      <c r="K730" s="263">
        <f>VLOOKUP($C730, '-calcs-'!$A$703:$T$712, 7, FALSE)</f>
        <v>11.7</v>
      </c>
      <c r="L730" s="263">
        <f>VLOOKUP($C730, '-calcs-'!$A$703:$T$712, 8, FALSE)</f>
        <v>41.2</v>
      </c>
      <c r="M730" s="263">
        <f>VLOOKUP($C730, '-calcs-'!$A$703:$T$712, 9, FALSE)</f>
        <v>12.28</v>
      </c>
      <c r="N730" s="263">
        <f>VLOOKUP($C730, '-calcs-'!$A$703:$T$712, 10, FALSE)</f>
        <v>21.1</v>
      </c>
      <c r="O730" s="263">
        <f>VLOOKUP($C730, '-calcs-'!$A$703:$T$712, 11, FALSE)</f>
        <v>20</v>
      </c>
      <c r="P730" s="263">
        <f>VLOOKUP($C730, '-calcs-'!$A$703:$T$712, 12, FALSE)</f>
        <v>5</v>
      </c>
      <c r="Q730" s="263">
        <f>VLOOKUP($C730, '-calcs-'!$A$703:$T$712, 13, FALSE)</f>
        <v>-0.25</v>
      </c>
      <c r="R730" s="263">
        <f>VLOOKUP($C730, '-calcs-'!$A$703:$T$712, 14, FALSE)</f>
        <v>-0.34</v>
      </c>
      <c r="S730" s="263">
        <v>25</v>
      </c>
      <c r="T730" s="263">
        <f>VLOOKUP($C730, '-calcs-'!$A$703:$T$712, 17, FALSE)</f>
        <v>1754</v>
      </c>
      <c r="U730" s="263">
        <f>VLOOKUP($C730, '-calcs-'!$A$703:$T$712, 18, FALSE)</f>
        <v>1096</v>
      </c>
      <c r="V730" s="263">
        <f>VLOOKUP($C730, '-calcs-'!$A$703:$T$712, 19, FALSE)</f>
        <v>30</v>
      </c>
      <c r="W730" s="263">
        <f>VLOOKUP($C730, '-calcs-'!$A$703:$T$712, 20, FALSE)</f>
        <v>21</v>
      </c>
      <c r="X730" s="263">
        <f t="shared" si="70"/>
        <v>412</v>
      </c>
      <c r="Y730" s="263">
        <v>22</v>
      </c>
      <c r="Z730" s="263">
        <v>1</v>
      </c>
    </row>
    <row r="731" spans="1:26" x14ac:dyDescent="0.25">
      <c r="A731" s="343">
        <v>11</v>
      </c>
      <c r="B731" s="386">
        <f>H731/1000</f>
        <v>10.53</v>
      </c>
      <c r="C731" s="353">
        <v>2</v>
      </c>
      <c r="D731" s="353">
        <v>390</v>
      </c>
      <c r="E731" s="382">
        <v>9</v>
      </c>
      <c r="F731" s="382">
        <v>3</v>
      </c>
      <c r="G731" s="338">
        <f>E731*F731</f>
        <v>27</v>
      </c>
      <c r="H731" s="263">
        <f>D731*E731*F731</f>
        <v>10530</v>
      </c>
      <c r="I731" s="263">
        <f>E731*F731*H731</f>
        <v>284310</v>
      </c>
      <c r="J731" s="263">
        <f>VLOOKUP($C731, '-calcs-'!$A$703:$T$712, 6, FALSE)</f>
        <v>34.200000000000003</v>
      </c>
      <c r="K731" s="263">
        <f>VLOOKUP($C731, '-calcs-'!$A$703:$T$712, 7, FALSE)</f>
        <v>11.7</v>
      </c>
      <c r="L731" s="263">
        <f>VLOOKUP($C731, '-calcs-'!$A$703:$T$712, 8, FALSE)</f>
        <v>41.2</v>
      </c>
      <c r="M731" s="263">
        <f>VLOOKUP($C731, '-calcs-'!$A$703:$T$712, 9, FALSE)</f>
        <v>12.28</v>
      </c>
      <c r="N731" s="263">
        <f>VLOOKUP($C731, '-calcs-'!$A$703:$T$712, 10, FALSE)</f>
        <v>21.1</v>
      </c>
      <c r="O731" s="263">
        <f>VLOOKUP($C731, '-calcs-'!$A$703:$T$712, 11, FALSE)</f>
        <v>20</v>
      </c>
      <c r="P731" s="263">
        <f>VLOOKUP($C731, '-calcs-'!$A$703:$T$712, 12, FALSE)</f>
        <v>5</v>
      </c>
      <c r="Q731" s="263">
        <f>VLOOKUP($C731, '-calcs-'!$A$703:$T$712, 13, FALSE)</f>
        <v>-0.25</v>
      </c>
      <c r="R731" s="263">
        <f>VLOOKUP($C731, '-calcs-'!$A$703:$T$712, 14, FALSE)</f>
        <v>-0.34</v>
      </c>
      <c r="S731" s="263">
        <v>25</v>
      </c>
      <c r="T731" s="263">
        <f>VLOOKUP($C731, '-calcs-'!$A$703:$T$712, 17, FALSE)</f>
        <v>1754</v>
      </c>
      <c r="U731" s="263">
        <f>VLOOKUP($C731, '-calcs-'!$A$703:$T$712, 18, FALSE)</f>
        <v>1096</v>
      </c>
      <c r="V731" s="263">
        <f>VLOOKUP($C731, '-calcs-'!$A$703:$T$712, 19, FALSE)</f>
        <v>30</v>
      </c>
      <c r="W731" s="263">
        <f>VLOOKUP($C731, '-calcs-'!$A$703:$T$712, 20, FALSE)</f>
        <v>21</v>
      </c>
      <c r="X731" s="263">
        <f>E731*L731</f>
        <v>370.8</v>
      </c>
      <c r="Y731" s="263">
        <v>20</v>
      </c>
      <c r="Z731" s="263">
        <v>1</v>
      </c>
    </row>
    <row r="732" spans="1:26" x14ac:dyDescent="0.25">
      <c r="A732" s="343">
        <v>12</v>
      </c>
      <c r="B732" s="386">
        <f t="shared" si="66"/>
        <v>12.45</v>
      </c>
      <c r="C732" s="353">
        <v>1</v>
      </c>
      <c r="D732" s="353">
        <f>VLOOKUP(C732, '-calcs-'!$A$703:$T$712, 5, FALSE)</f>
        <v>415</v>
      </c>
      <c r="E732" s="382">
        <v>5</v>
      </c>
      <c r="F732" s="382">
        <v>6</v>
      </c>
      <c r="G732" s="338">
        <f t="shared" si="67"/>
        <v>30</v>
      </c>
      <c r="H732" s="263">
        <f t="shared" si="68"/>
        <v>12450</v>
      </c>
      <c r="I732" s="263">
        <f t="shared" si="69"/>
        <v>373500</v>
      </c>
      <c r="J732" s="263">
        <f>VLOOKUP($C732, '-calcs-'!$A$703:$T$712, 6, FALSE)</f>
        <v>41.7</v>
      </c>
      <c r="K732" s="263">
        <f>VLOOKUP($C732, '-calcs-'!$A$703:$T$712, 7, FALSE)</f>
        <v>9.94</v>
      </c>
      <c r="L732" s="263">
        <f>VLOOKUP($C732, '-calcs-'!$A$703:$T$712, 8, FALSE)</f>
        <v>50</v>
      </c>
      <c r="M732" s="263">
        <f>VLOOKUP($C732, '-calcs-'!$A$703:$T$712, 9, FALSE)</f>
        <v>10.55</v>
      </c>
      <c r="N732" s="263">
        <f>VLOOKUP($C732, '-calcs-'!$A$703:$T$712, 10, FALSE)</f>
        <v>20.8</v>
      </c>
      <c r="O732" s="263">
        <f>VLOOKUP($C732, '-calcs-'!$A$703:$T$712, 11, FALSE)</f>
        <v>20</v>
      </c>
      <c r="P732" s="263">
        <f>VLOOKUP($C732, '-calcs-'!$A$703:$T$712, 12, FALSE)</f>
        <v>5</v>
      </c>
      <c r="Q732" s="263">
        <f>VLOOKUP($C732, '-calcs-'!$A$703:$T$712, 13, FALSE)</f>
        <v>-0.25</v>
      </c>
      <c r="R732" s="263">
        <f>VLOOKUP($C732, '-calcs-'!$A$703:$T$712, 14, FALSE)</f>
        <v>-0.34</v>
      </c>
      <c r="S732" s="263">
        <v>25</v>
      </c>
      <c r="T732" s="263">
        <f>VLOOKUP($C732, '-calcs-'!$A$703:$T$712, 17, FALSE)</f>
        <v>1762</v>
      </c>
      <c r="U732" s="263">
        <f>VLOOKUP($C732, '-calcs-'!$A$703:$T$712, 18, FALSE)</f>
        <v>1134</v>
      </c>
      <c r="V732" s="263">
        <f>VLOOKUP($C732, '-calcs-'!$A$703:$T$712, 19, FALSE)</f>
        <v>30</v>
      </c>
      <c r="W732" s="263">
        <f>VLOOKUP($C732, '-calcs-'!$A$703:$T$712, 20, FALSE)</f>
        <v>21.8</v>
      </c>
      <c r="X732" s="263">
        <f t="shared" si="70"/>
        <v>250</v>
      </c>
      <c r="Y732" s="263">
        <v>16</v>
      </c>
      <c r="Z732" s="263">
        <v>2</v>
      </c>
    </row>
    <row r="733" spans="1:26" x14ac:dyDescent="0.25">
      <c r="A733" s="343">
        <v>13</v>
      </c>
      <c r="B733" s="386">
        <f t="shared" si="66"/>
        <v>14.04</v>
      </c>
      <c r="C733" s="353">
        <v>1</v>
      </c>
      <c r="D733" s="353">
        <v>390</v>
      </c>
      <c r="E733" s="382">
        <v>9</v>
      </c>
      <c r="F733" s="382">
        <v>4</v>
      </c>
      <c r="G733" s="338">
        <f t="shared" si="67"/>
        <v>36</v>
      </c>
      <c r="H733" s="263">
        <f t="shared" si="68"/>
        <v>14040</v>
      </c>
      <c r="I733" s="263">
        <f t="shared" si="69"/>
        <v>505440</v>
      </c>
      <c r="J733" s="263">
        <f>VLOOKUP($C733, '-calcs-'!$A$703:$T$712, 6, FALSE)</f>
        <v>41.7</v>
      </c>
      <c r="K733" s="263">
        <f>VLOOKUP($C733, '-calcs-'!$A$703:$T$712, 7, FALSE)</f>
        <v>9.94</v>
      </c>
      <c r="L733" s="263">
        <f>VLOOKUP($C733, '-calcs-'!$A$703:$T$712, 8, FALSE)</f>
        <v>50</v>
      </c>
      <c r="M733" s="263">
        <f>VLOOKUP($C733, '-calcs-'!$A$703:$T$712, 9, FALSE)</f>
        <v>10.55</v>
      </c>
      <c r="N733" s="263">
        <f>VLOOKUP($C733, '-calcs-'!$A$703:$T$712, 10, FALSE)</f>
        <v>20.8</v>
      </c>
      <c r="O733" s="263">
        <f>VLOOKUP($C733, '-calcs-'!$A$703:$T$712, 11, FALSE)</f>
        <v>20</v>
      </c>
      <c r="P733" s="263">
        <f>VLOOKUP($C733, '-calcs-'!$A$703:$T$712, 12, FALSE)</f>
        <v>5</v>
      </c>
      <c r="Q733" s="263">
        <f>VLOOKUP($C733, '-calcs-'!$A$703:$T$712, 13, FALSE)</f>
        <v>-0.25</v>
      </c>
      <c r="R733" s="263">
        <f>VLOOKUP($C733, '-calcs-'!$A$703:$T$712, 14, FALSE)</f>
        <v>-0.34</v>
      </c>
      <c r="S733" s="263">
        <v>25</v>
      </c>
      <c r="T733" s="263">
        <f>VLOOKUP($C733, '-calcs-'!$A$703:$T$712, 17, FALSE)</f>
        <v>1762</v>
      </c>
      <c r="U733" s="263">
        <f>VLOOKUP($C733, '-calcs-'!$A$703:$T$712, 18, FALSE)</f>
        <v>1134</v>
      </c>
      <c r="V733" s="263">
        <f>VLOOKUP($C733, '-calcs-'!$A$703:$T$712, 19, FALSE)</f>
        <v>30</v>
      </c>
      <c r="W733" s="263">
        <f>VLOOKUP($C733, '-calcs-'!$A$703:$T$712, 20, FALSE)</f>
        <v>21.8</v>
      </c>
      <c r="X733" s="263">
        <f t="shared" si="70"/>
        <v>450</v>
      </c>
      <c r="Y733" s="263">
        <v>20</v>
      </c>
      <c r="Z733" s="263">
        <v>1</v>
      </c>
    </row>
    <row r="734" spans="1:26" x14ac:dyDescent="0.25">
      <c r="A734" s="343"/>
      <c r="B734" s="343"/>
      <c r="C734" s="343"/>
      <c r="D734" s="343"/>
      <c r="E734" s="343"/>
      <c r="F734" s="343"/>
    </row>
    <row r="735" spans="1:26" x14ac:dyDescent="0.25">
      <c r="A735" s="343"/>
      <c r="B735" s="379" t="s">
        <v>408</v>
      </c>
      <c r="C735" s="379" t="s">
        <v>397</v>
      </c>
      <c r="D735" s="379" t="s">
        <v>399</v>
      </c>
      <c r="E735" s="379" t="s">
        <v>400</v>
      </c>
      <c r="F735" s="379" t="s">
        <v>161</v>
      </c>
      <c r="G735" s="336" t="s">
        <v>402</v>
      </c>
      <c r="H735" s="336" t="s">
        <v>401</v>
      </c>
      <c r="I735" s="336" t="s">
        <v>403</v>
      </c>
      <c r="J735" s="336" t="s">
        <v>412</v>
      </c>
      <c r="K735" s="336" t="s">
        <v>2</v>
      </c>
      <c r="L735" s="336" t="s">
        <v>165</v>
      </c>
    </row>
    <row r="736" spans="1:26" x14ac:dyDescent="0.25">
      <c r="A736" s="343">
        <v>1</v>
      </c>
      <c r="B736" s="386">
        <f t="shared" ref="B736:B752" si="71">I736/1000</f>
        <v>2.88</v>
      </c>
      <c r="C736" s="353">
        <v>1</v>
      </c>
      <c r="D736" s="353">
        <f>VLOOKUP(C736, '-calcs-'!$A$684:$N$694, 4, FALSE)</f>
        <v>60</v>
      </c>
      <c r="E736" s="382">
        <v>4</v>
      </c>
      <c r="F736" s="382">
        <v>1</v>
      </c>
      <c r="G736" s="263">
        <f>VLOOKUP(C736, '-calcs-'!$A$684:$N$694, 3, FALSE)</f>
        <v>12</v>
      </c>
      <c r="H736" s="263">
        <f t="shared" ref="H736:H752" si="72">E736*G736</f>
        <v>48</v>
      </c>
      <c r="I736" s="263">
        <f t="shared" ref="I736:I752" si="73">D736*F736*H736</f>
        <v>2880</v>
      </c>
      <c r="J736" s="263" t="str">
        <f>VLOOKUP(C736, '-calcs-'!$A$684:$Z$699, 20, FALSE)</f>
        <v>LeadCarbon</v>
      </c>
      <c r="K736" s="263">
        <f t="shared" ref="K736:K752" si="74">E736*F736</f>
        <v>4</v>
      </c>
      <c r="L736" s="296">
        <f>VLOOKUP(E736, '-calcs-'!$A$684:$Z$699, 15, FALSE)</f>
        <v>1</v>
      </c>
    </row>
    <row r="737" spans="1:12" x14ac:dyDescent="0.25">
      <c r="A737" s="343">
        <v>2</v>
      </c>
      <c r="B737" s="386">
        <f t="shared" si="71"/>
        <v>4.8</v>
      </c>
      <c r="C737" s="353">
        <v>8</v>
      </c>
      <c r="D737" s="353">
        <v>100</v>
      </c>
      <c r="E737" s="382">
        <v>4</v>
      </c>
      <c r="F737" s="382">
        <v>1</v>
      </c>
      <c r="G737" s="263">
        <f>VLOOKUP(C737, '-calcs-'!$A$684:$N$694, 3, FALSE)</f>
        <v>12</v>
      </c>
      <c r="H737" s="263">
        <f t="shared" si="72"/>
        <v>48</v>
      </c>
      <c r="I737" s="263">
        <f t="shared" si="73"/>
        <v>4800</v>
      </c>
      <c r="J737" s="263" t="str">
        <f>VLOOKUP(C737, '-calcs-'!$A$684:$Z$699, 20, FALSE)</f>
        <v>Carbon.AGM</v>
      </c>
      <c r="K737" s="263">
        <f t="shared" si="74"/>
        <v>4</v>
      </c>
      <c r="L737" s="296">
        <f>VLOOKUP(E737, '-calcs-'!$A$684:$Z$699, 15, FALSE)</f>
        <v>1</v>
      </c>
    </row>
    <row r="738" spans="1:12" x14ac:dyDescent="0.25">
      <c r="A738" s="343">
        <v>3</v>
      </c>
      <c r="B738" s="386">
        <f t="shared" si="71"/>
        <v>7.68</v>
      </c>
      <c r="C738" s="353">
        <v>3</v>
      </c>
      <c r="D738" s="353">
        <f>VLOOKUP(C738, '-calcs-'!$A$684:$N$694, 4, FALSE)</f>
        <v>160</v>
      </c>
      <c r="E738" s="382">
        <v>4</v>
      </c>
      <c r="F738" s="382">
        <v>1</v>
      </c>
      <c r="G738" s="263">
        <f>VLOOKUP(C738, '-calcs-'!$A$684:$N$694, 3, FALSE)</f>
        <v>12</v>
      </c>
      <c r="H738" s="263">
        <f t="shared" si="72"/>
        <v>48</v>
      </c>
      <c r="I738" s="263">
        <f t="shared" si="73"/>
        <v>7680</v>
      </c>
      <c r="J738" s="263" t="str">
        <f>VLOOKUP(C738, '-calcs-'!$A$684:$Z$699, 20, FALSE)</f>
        <v>LeadCarbon</v>
      </c>
      <c r="K738" s="263">
        <f t="shared" si="74"/>
        <v>4</v>
      </c>
      <c r="L738" s="296">
        <f>VLOOKUP(E738, '-calcs-'!$A$684:$Z$699, 15, FALSE)</f>
        <v>1</v>
      </c>
    </row>
    <row r="739" spans="1:12" x14ac:dyDescent="0.25">
      <c r="A739" s="343">
        <v>4</v>
      </c>
      <c r="B739" s="386">
        <f t="shared" si="71"/>
        <v>7.9872000000000005</v>
      </c>
      <c r="C739" s="353">
        <v>12</v>
      </c>
      <c r="D739" s="353">
        <f>VLOOKUP(C739, '-calcs-'!$A$684:$N$699, 4, FALSE)</f>
        <v>78</v>
      </c>
      <c r="E739" s="382">
        <v>1</v>
      </c>
      <c r="F739" s="382">
        <v>2</v>
      </c>
      <c r="G739" s="263">
        <f>VLOOKUP(C739, '-calcs-'!$A$684:$N$699, 3, FALSE)</f>
        <v>51.2</v>
      </c>
      <c r="H739" s="263">
        <f t="shared" si="72"/>
        <v>51.2</v>
      </c>
      <c r="I739" s="263">
        <f t="shared" si="73"/>
        <v>7987.2000000000007</v>
      </c>
      <c r="J739" s="263" t="str">
        <f>VLOOKUP(C739, '-calcs-'!$A$684:$Z$699, 20, FALSE)</f>
        <v>Lithium</v>
      </c>
      <c r="K739" s="263">
        <f t="shared" si="74"/>
        <v>2</v>
      </c>
      <c r="L739" s="296">
        <f>VLOOKUP(E739, '-calcs-'!$A$684:$Z$699, 15, FALSE)</f>
        <v>1</v>
      </c>
    </row>
    <row r="740" spans="1:12" x14ac:dyDescent="0.25">
      <c r="A740" s="343">
        <v>5</v>
      </c>
      <c r="B740" s="386">
        <f t="shared" si="71"/>
        <v>8.16</v>
      </c>
      <c r="C740" s="353">
        <v>4</v>
      </c>
      <c r="D740" s="353">
        <f>VLOOKUP(C740, '-calcs-'!$A$684:$N$694, 4, FALSE)</f>
        <v>170</v>
      </c>
      <c r="E740" s="382">
        <v>4</v>
      </c>
      <c r="F740" s="382">
        <v>1</v>
      </c>
      <c r="G740" s="263">
        <f>VLOOKUP(C740, '-calcs-'!$A$684:$N$694, 3, FALSE)</f>
        <v>12</v>
      </c>
      <c r="H740" s="263">
        <f t="shared" si="72"/>
        <v>48</v>
      </c>
      <c r="I740" s="263">
        <f t="shared" si="73"/>
        <v>8160</v>
      </c>
      <c r="J740" s="263" t="str">
        <f>VLOOKUP(C740, '-calcs-'!$A$684:$Z$699, 20, FALSE)</f>
        <v>AGM</v>
      </c>
      <c r="K740" s="263">
        <f t="shared" si="74"/>
        <v>4</v>
      </c>
      <c r="L740" s="296">
        <f>VLOOKUP(E740, '-calcs-'!$A$684:$Z$699, 15, FALSE)</f>
        <v>1</v>
      </c>
    </row>
    <row r="741" spans="1:12" x14ac:dyDescent="0.25">
      <c r="A741" s="343">
        <v>6</v>
      </c>
      <c r="B741" s="386">
        <f t="shared" si="71"/>
        <v>9.8304000000000009</v>
      </c>
      <c r="C741" s="353">
        <v>13</v>
      </c>
      <c r="D741" s="353">
        <f>VLOOKUP(C741, '-calcs-'!$A$684:$N$699, 4, FALSE)</f>
        <v>64</v>
      </c>
      <c r="E741" s="382">
        <v>1</v>
      </c>
      <c r="F741" s="382">
        <v>3</v>
      </c>
      <c r="G741" s="263">
        <f>VLOOKUP(C741, '-calcs-'!$A$684:$N$699, 3, FALSE)</f>
        <v>51.2</v>
      </c>
      <c r="H741" s="263">
        <f t="shared" si="72"/>
        <v>51.2</v>
      </c>
      <c r="I741" s="263">
        <f t="shared" si="73"/>
        <v>9830.4000000000015</v>
      </c>
      <c r="J741" s="263" t="str">
        <f>VLOOKUP(C741, '-calcs-'!$A$684:$Z$699, 20, FALSE)</f>
        <v>Lithium</v>
      </c>
      <c r="K741" s="263">
        <f t="shared" si="74"/>
        <v>3</v>
      </c>
      <c r="L741" s="296">
        <f>VLOOKUP(E741, '-calcs-'!$A$684:$Z$699, 15, FALSE)</f>
        <v>1</v>
      </c>
    </row>
    <row r="742" spans="1:12" x14ac:dyDescent="0.25">
      <c r="A742" s="343">
        <v>7</v>
      </c>
      <c r="B742" s="386">
        <f t="shared" si="71"/>
        <v>11.04</v>
      </c>
      <c r="C742" s="353">
        <v>5</v>
      </c>
      <c r="D742" s="353">
        <f>VLOOKUP(C742, '-calcs-'!$A$684:$N$694, 4, FALSE)</f>
        <v>230</v>
      </c>
      <c r="E742" s="382">
        <v>4</v>
      </c>
      <c r="F742" s="382">
        <v>1</v>
      </c>
      <c r="G742" s="263">
        <f>VLOOKUP(C742, '-calcs-'!$A$684:$N$694, 3, FALSE)</f>
        <v>12</v>
      </c>
      <c r="H742" s="263">
        <f t="shared" si="72"/>
        <v>48</v>
      </c>
      <c r="I742" s="263">
        <f t="shared" si="73"/>
        <v>11040</v>
      </c>
      <c r="J742" s="263" t="str">
        <f>VLOOKUP(C742, '-calcs-'!$A$684:$Z$699, 20, FALSE)</f>
        <v>AGM</v>
      </c>
      <c r="K742" s="263">
        <f t="shared" si="74"/>
        <v>4</v>
      </c>
      <c r="L742" s="296">
        <f>VLOOKUP(E742, '-calcs-'!$A$684:$Z$699, 15, FALSE)</f>
        <v>1</v>
      </c>
    </row>
    <row r="743" spans="1:12" x14ac:dyDescent="0.25">
      <c r="A743" s="343">
        <v>8</v>
      </c>
      <c r="B743" s="386">
        <f t="shared" si="71"/>
        <v>12.022399999999999</v>
      </c>
      <c r="C743" s="353">
        <v>11</v>
      </c>
      <c r="D743" s="353">
        <f>VLOOKUP(C743, '-calcs-'!$A$684:$N$694, 4, FALSE)</f>
        <v>57.8</v>
      </c>
      <c r="E743" s="382">
        <v>1</v>
      </c>
      <c r="F743" s="382">
        <v>4</v>
      </c>
      <c r="G743" s="263">
        <f>VLOOKUP(C743, '-calcs-'!$A$684:$N$694, 3, FALSE)</f>
        <v>52</v>
      </c>
      <c r="H743" s="263">
        <f t="shared" si="72"/>
        <v>52</v>
      </c>
      <c r="I743" s="263">
        <f t="shared" si="73"/>
        <v>12022.4</v>
      </c>
      <c r="J743" s="263" t="str">
        <f>VLOOKUP(C743, '-calcs-'!$A$684:$Z$699, 20, FALSE)</f>
        <v>Lithium</v>
      </c>
      <c r="K743" s="263">
        <f t="shared" si="74"/>
        <v>4</v>
      </c>
      <c r="L743" s="296">
        <f>VLOOKUP(E743, '-calcs-'!$A$684:$Z$699, 15, FALSE)</f>
        <v>1</v>
      </c>
    </row>
    <row r="744" spans="1:12" x14ac:dyDescent="0.25">
      <c r="A744" s="343">
        <v>9</v>
      </c>
      <c r="B744" s="386">
        <f t="shared" si="71"/>
        <v>14.4</v>
      </c>
      <c r="C744" s="353">
        <v>2</v>
      </c>
      <c r="D744" s="353">
        <f>VLOOKUP(C744, '-calcs-'!$A$684:$N$694, 4, FALSE)</f>
        <v>100</v>
      </c>
      <c r="E744" s="382">
        <v>4</v>
      </c>
      <c r="F744" s="382">
        <v>3</v>
      </c>
      <c r="G744" s="263">
        <f>VLOOKUP(C744, '-calcs-'!$A$684:$N$694, 3, FALSE)</f>
        <v>12</v>
      </c>
      <c r="H744" s="263">
        <f t="shared" si="72"/>
        <v>48</v>
      </c>
      <c r="I744" s="263">
        <f t="shared" si="73"/>
        <v>14400</v>
      </c>
      <c r="J744" s="263" t="str">
        <f>VLOOKUP(C744, '-calcs-'!$A$684:$Z$699, 20, FALSE)</f>
        <v>LeadCarbon</v>
      </c>
      <c r="K744" s="263">
        <f t="shared" si="74"/>
        <v>12</v>
      </c>
      <c r="L744" s="296">
        <f>VLOOKUP(E744, '-calcs-'!$A$684:$Z$699, 15, FALSE)</f>
        <v>1</v>
      </c>
    </row>
    <row r="745" spans="1:12" x14ac:dyDescent="0.25">
      <c r="A745" s="343">
        <v>10</v>
      </c>
      <c r="B745" s="386">
        <f t="shared" si="71"/>
        <v>15.028</v>
      </c>
      <c r="C745" s="353">
        <v>11</v>
      </c>
      <c r="D745" s="353">
        <f>VLOOKUP(C745, '-calcs-'!$A$684:$N$694, 4, FALSE)</f>
        <v>57.8</v>
      </c>
      <c r="E745" s="382">
        <v>1</v>
      </c>
      <c r="F745" s="382">
        <v>5</v>
      </c>
      <c r="G745" s="263">
        <f>VLOOKUP(C745, '-calcs-'!$A$684:$N$694, 3, FALSE)</f>
        <v>52</v>
      </c>
      <c r="H745" s="263">
        <f t="shared" si="72"/>
        <v>52</v>
      </c>
      <c r="I745" s="263">
        <f t="shared" si="73"/>
        <v>15028</v>
      </c>
      <c r="J745" s="263" t="str">
        <f>VLOOKUP(C745, '-calcs-'!$A$684:$Z$699, 20, FALSE)</f>
        <v>Lithium</v>
      </c>
      <c r="K745" s="263">
        <f t="shared" si="74"/>
        <v>5</v>
      </c>
      <c r="L745" s="296">
        <f>VLOOKUP(E745, '-calcs-'!$A$684:$Z$699, 15, FALSE)</f>
        <v>1</v>
      </c>
    </row>
    <row r="746" spans="1:12" x14ac:dyDescent="0.25">
      <c r="A746" s="343">
        <v>11</v>
      </c>
      <c r="B746" s="386">
        <f t="shared" si="71"/>
        <v>18.0336</v>
      </c>
      <c r="C746" s="353">
        <v>11</v>
      </c>
      <c r="D746" s="353">
        <f>VLOOKUP(C746, '-calcs-'!$A$684:$N$694, 4, FALSE)</f>
        <v>57.8</v>
      </c>
      <c r="E746" s="382">
        <v>1</v>
      </c>
      <c r="F746" s="382">
        <v>6</v>
      </c>
      <c r="G746" s="263">
        <f>VLOOKUP(C746, '-calcs-'!$A$684:$N$694, 3, FALSE)</f>
        <v>52</v>
      </c>
      <c r="H746" s="263">
        <f t="shared" si="72"/>
        <v>52</v>
      </c>
      <c r="I746" s="263">
        <f t="shared" si="73"/>
        <v>18033.599999999999</v>
      </c>
      <c r="J746" s="263" t="str">
        <f>VLOOKUP(C746, '-calcs-'!$A$684:$Z$699, 20, FALSE)</f>
        <v>Lithium</v>
      </c>
      <c r="K746" s="263">
        <f t="shared" si="74"/>
        <v>6</v>
      </c>
      <c r="L746" s="296">
        <f>VLOOKUP(E746, '-calcs-'!$A$684:$Z$699, 15, FALSE)</f>
        <v>1</v>
      </c>
    </row>
    <row r="747" spans="1:12" x14ac:dyDescent="0.25">
      <c r="A747" s="343">
        <v>12</v>
      </c>
      <c r="B747" s="386">
        <f t="shared" si="71"/>
        <v>20</v>
      </c>
      <c r="C747" s="353">
        <v>16</v>
      </c>
      <c r="D747" s="353">
        <f>VLOOKUP(C747, '-calcs-'!$A$684:$N$699, 4, FALSE)</f>
        <v>100</v>
      </c>
      <c r="E747" s="382">
        <v>1</v>
      </c>
      <c r="F747" s="382">
        <v>4</v>
      </c>
      <c r="G747" s="263">
        <v>50</v>
      </c>
      <c r="H747" s="263">
        <f t="shared" si="72"/>
        <v>50</v>
      </c>
      <c r="I747" s="263">
        <f t="shared" si="73"/>
        <v>20000</v>
      </c>
      <c r="J747" s="263" t="str">
        <f>VLOOKUP(C747, '-calcs-'!$A$684:$Z$699, 20, FALSE)</f>
        <v>Lithium</v>
      </c>
      <c r="K747" s="263">
        <f t="shared" si="74"/>
        <v>4</v>
      </c>
      <c r="L747" s="296">
        <f>VLOOKUP(C747, '-calcs-'!$A$684:$Z$699, 15, FALSE)</f>
        <v>0.98</v>
      </c>
    </row>
    <row r="748" spans="1:12" x14ac:dyDescent="0.25">
      <c r="A748" s="343">
        <v>13</v>
      </c>
      <c r="B748" s="386">
        <f t="shared" si="71"/>
        <v>21.039199999999997</v>
      </c>
      <c r="C748" s="353">
        <v>11</v>
      </c>
      <c r="D748" s="353">
        <f>VLOOKUP(C748, '-calcs-'!$A$684:$N$699, 4, FALSE)</f>
        <v>57.8</v>
      </c>
      <c r="E748" s="382">
        <v>1</v>
      </c>
      <c r="F748" s="382">
        <v>7</v>
      </c>
      <c r="G748" s="263">
        <f>VLOOKUP(C748, '-calcs-'!$A$684:$N$699, 3, FALSE)</f>
        <v>52</v>
      </c>
      <c r="H748" s="263">
        <f t="shared" si="72"/>
        <v>52</v>
      </c>
      <c r="I748" s="263">
        <f t="shared" si="73"/>
        <v>21039.199999999997</v>
      </c>
      <c r="J748" s="263" t="str">
        <f>VLOOKUP(C748, '-calcs-'!$A$684:$Z$699, 20, FALSE)</f>
        <v>Lithium</v>
      </c>
      <c r="K748" s="263">
        <f t="shared" si="74"/>
        <v>7</v>
      </c>
      <c r="L748" s="296">
        <f>VLOOKUP(E748, '-calcs-'!$A$684:$Z$699, 15, FALSE)</f>
        <v>1</v>
      </c>
    </row>
    <row r="749" spans="1:12" x14ac:dyDescent="0.25">
      <c r="A749" s="343">
        <v>14</v>
      </c>
      <c r="B749" s="386">
        <f t="shared" si="71"/>
        <v>24.044799999999999</v>
      </c>
      <c r="C749" s="353">
        <v>11</v>
      </c>
      <c r="D749" s="353">
        <f>VLOOKUP(C749, '-calcs-'!$A$684:$N$694, 4, FALSE)</f>
        <v>57.8</v>
      </c>
      <c r="E749" s="382">
        <v>1</v>
      </c>
      <c r="F749" s="382">
        <v>8</v>
      </c>
      <c r="G749" s="263">
        <f>VLOOKUP(C749, '-calcs-'!$A$684:$N$694, 3, FALSE)</f>
        <v>52</v>
      </c>
      <c r="H749" s="263">
        <f t="shared" si="72"/>
        <v>52</v>
      </c>
      <c r="I749" s="263">
        <f t="shared" si="73"/>
        <v>24044.799999999999</v>
      </c>
      <c r="J749" s="263" t="str">
        <f>VLOOKUP(C749, '-calcs-'!$A$684:$Z$699, 20, FALSE)</f>
        <v>Lithium</v>
      </c>
      <c r="K749" s="263">
        <f t="shared" si="74"/>
        <v>8</v>
      </c>
      <c r="L749" s="296">
        <f>VLOOKUP(E749, '-calcs-'!$A$684:$Z$699, 15, FALSE)</f>
        <v>1</v>
      </c>
    </row>
    <row r="750" spans="1:12" x14ac:dyDescent="0.25">
      <c r="A750" s="343">
        <v>15</v>
      </c>
      <c r="B750" s="386">
        <f t="shared" si="71"/>
        <v>29.952000000000002</v>
      </c>
      <c r="C750" s="353">
        <v>6</v>
      </c>
      <c r="D750" s="353">
        <f>VLOOKUP(C750, '-calcs-'!$A$684:$N$699, 4, FALSE)</f>
        <v>624</v>
      </c>
      <c r="E750" s="382">
        <v>24</v>
      </c>
      <c r="F750" s="382">
        <v>1</v>
      </c>
      <c r="G750" s="263">
        <f>VLOOKUP(C750, '-calcs-'!$A$684:$N$694, 3, FALSE)</f>
        <v>2</v>
      </c>
      <c r="H750" s="263">
        <f t="shared" si="72"/>
        <v>48</v>
      </c>
      <c r="I750" s="263">
        <f t="shared" si="73"/>
        <v>29952</v>
      </c>
      <c r="J750" s="263" t="str">
        <f>VLOOKUP(C750, '-calcs-'!$A$684:$Z$699, 20, FALSE)</f>
        <v>Gel</v>
      </c>
      <c r="K750" s="263">
        <f t="shared" si="74"/>
        <v>24</v>
      </c>
      <c r="L750" s="296">
        <f>VLOOKUP(C750, '-calcs-'!$A$684:$Z$699, 15, FALSE)</f>
        <v>1</v>
      </c>
    </row>
    <row r="751" spans="1:12" x14ac:dyDescent="0.25">
      <c r="A751" s="343">
        <v>16</v>
      </c>
      <c r="B751" s="386">
        <f t="shared" si="71"/>
        <v>27.050399999999996</v>
      </c>
      <c r="C751" s="353">
        <v>11</v>
      </c>
      <c r="D751" s="353">
        <f>VLOOKUP(C751, '-calcs-'!$A$684:$N$694, 4, FALSE)</f>
        <v>57.8</v>
      </c>
      <c r="E751" s="382">
        <v>1</v>
      </c>
      <c r="F751" s="382">
        <v>9</v>
      </c>
      <c r="G751" s="263">
        <f>VLOOKUP(C751, '-calcs-'!$A$684:$N$694, 3, FALSE)</f>
        <v>52</v>
      </c>
      <c r="H751" s="263">
        <f t="shared" si="72"/>
        <v>52</v>
      </c>
      <c r="I751" s="263">
        <f t="shared" si="73"/>
        <v>27050.399999999998</v>
      </c>
      <c r="J751" s="263" t="str">
        <f>VLOOKUP(C751, '-calcs-'!$A$684:$Z$699, 20, FALSE)</f>
        <v>Lithium</v>
      </c>
      <c r="K751" s="263">
        <f t="shared" si="74"/>
        <v>9</v>
      </c>
      <c r="L751" s="296">
        <f>VLOOKUP(E751, '-calcs-'!$A$684:$Z$699, 15, FALSE)</f>
        <v>1</v>
      </c>
    </row>
    <row r="752" spans="1:12" x14ac:dyDescent="0.25">
      <c r="A752" s="343">
        <v>17</v>
      </c>
      <c r="B752" s="386">
        <f t="shared" si="71"/>
        <v>30.056000000000001</v>
      </c>
      <c r="C752" s="353">
        <v>11</v>
      </c>
      <c r="D752" s="353">
        <f>VLOOKUP(C752, '-calcs-'!$A$684:$N$694, 4, FALSE)</f>
        <v>57.8</v>
      </c>
      <c r="E752" s="382">
        <v>1</v>
      </c>
      <c r="F752" s="382">
        <v>10</v>
      </c>
      <c r="G752" s="263">
        <f>VLOOKUP(C752, '-calcs-'!$A$684:$N$694, 3, FALSE)</f>
        <v>52</v>
      </c>
      <c r="H752" s="263">
        <f t="shared" si="72"/>
        <v>52</v>
      </c>
      <c r="I752" s="263">
        <f t="shared" si="73"/>
        <v>30056</v>
      </c>
      <c r="J752" s="263" t="str">
        <f>VLOOKUP(C752, '-calcs-'!$A$684:$Z$699, 20, FALSE)</f>
        <v>Lithium</v>
      </c>
      <c r="K752" s="263">
        <f t="shared" si="74"/>
        <v>10</v>
      </c>
      <c r="L752" s="296">
        <f>VLOOKUP(E752, '-calcs-'!$A$684:$Z$699, 15, FALSE)</f>
        <v>1</v>
      </c>
    </row>
    <row r="753" spans="1:6" x14ac:dyDescent="0.25">
      <c r="A753" s="343"/>
      <c r="B753" s="343"/>
      <c r="C753" s="343"/>
      <c r="D753" s="343"/>
      <c r="E753" s="343"/>
      <c r="F753" s="343"/>
    </row>
    <row r="754" spans="1:6" x14ac:dyDescent="0.25">
      <c r="A754" s="343"/>
      <c r="B754" s="343"/>
      <c r="C754" s="343"/>
      <c r="D754" s="343"/>
      <c r="E754" s="343"/>
      <c r="F754" s="348"/>
    </row>
    <row r="755" spans="1:6" x14ac:dyDescent="0.25">
      <c r="A755" s="343"/>
      <c r="B755" s="343"/>
      <c r="C755" s="343"/>
      <c r="D755" s="343"/>
      <c r="E755" s="343"/>
      <c r="F755" s="348"/>
    </row>
    <row r="756" spans="1:6" ht="20.25" x14ac:dyDescent="0.3">
      <c r="A756" s="343"/>
      <c r="B756" s="345" t="s">
        <v>882</v>
      </c>
      <c r="C756" s="343"/>
      <c r="D756" s="343"/>
      <c r="E756" s="343"/>
      <c r="F756" s="348"/>
    </row>
    <row r="757" spans="1:6" x14ac:dyDescent="0.25">
      <c r="A757" s="343"/>
      <c r="B757" s="343"/>
      <c r="C757" s="343"/>
      <c r="D757" s="343"/>
      <c r="E757" s="343"/>
      <c r="F757" s="343"/>
    </row>
    <row r="758" spans="1:6" x14ac:dyDescent="0.25">
      <c r="A758" s="343"/>
      <c r="B758" s="343"/>
      <c r="C758" s="343"/>
      <c r="D758" s="343"/>
      <c r="E758" s="343"/>
      <c r="F758" s="348"/>
    </row>
    <row r="759" spans="1:6" x14ac:dyDescent="0.25">
      <c r="A759" s="343"/>
      <c r="B759" s="361" t="s">
        <v>884</v>
      </c>
      <c r="C759" s="343" t="s">
        <v>885</v>
      </c>
      <c r="D759" s="343" t="s">
        <v>73</v>
      </c>
      <c r="E759" s="343" t="s">
        <v>883</v>
      </c>
      <c r="F759" s="348"/>
    </row>
    <row r="760" spans="1:6" x14ac:dyDescent="0.25">
      <c r="A760" s="343">
        <v>1</v>
      </c>
      <c r="B760" s="343">
        <v>2</v>
      </c>
      <c r="C760" s="343" t="s">
        <v>839</v>
      </c>
      <c r="D760" s="343">
        <v>9</v>
      </c>
      <c r="E760" s="343">
        <v>4</v>
      </c>
      <c r="F760" s="343"/>
    </row>
    <row r="761" spans="1:6" x14ac:dyDescent="0.25">
      <c r="A761" s="343">
        <v>2</v>
      </c>
      <c r="B761" s="343">
        <v>3</v>
      </c>
      <c r="C761" s="343" t="s">
        <v>840</v>
      </c>
      <c r="D761" s="343">
        <v>14</v>
      </c>
      <c r="E761" s="343">
        <v>4</v>
      </c>
      <c r="F761" s="343"/>
    </row>
    <row r="762" spans="1:6" x14ac:dyDescent="0.25">
      <c r="A762" s="343">
        <v>3</v>
      </c>
      <c r="B762" s="388" t="s">
        <v>886</v>
      </c>
      <c r="C762" s="343" t="s">
        <v>841</v>
      </c>
      <c r="D762" s="343">
        <v>19</v>
      </c>
      <c r="E762" s="343">
        <v>5</v>
      </c>
      <c r="F762" s="343"/>
    </row>
    <row r="763" spans="1:6" x14ac:dyDescent="0.25">
      <c r="A763" s="343">
        <v>4</v>
      </c>
      <c r="B763" s="388" t="s">
        <v>887</v>
      </c>
      <c r="C763" s="343" t="s">
        <v>842</v>
      </c>
      <c r="D763" s="343">
        <v>26</v>
      </c>
      <c r="E763" s="343">
        <v>6.5</v>
      </c>
      <c r="F763" s="343"/>
    </row>
    <row r="764" spans="1:6" x14ac:dyDescent="0.25">
      <c r="A764" s="343">
        <v>5</v>
      </c>
      <c r="B764" s="361" t="s">
        <v>914</v>
      </c>
      <c r="C764" s="343" t="s">
        <v>913</v>
      </c>
      <c r="D764" s="343">
        <v>35</v>
      </c>
      <c r="E764" s="343">
        <v>8</v>
      </c>
      <c r="F764" s="343"/>
    </row>
    <row r="765" spans="1:6" x14ac:dyDescent="0.25">
      <c r="A765" s="343"/>
      <c r="B765" s="343"/>
      <c r="C765" s="343"/>
      <c r="D765" s="343"/>
      <c r="E765" s="343"/>
      <c r="F765" s="348"/>
    </row>
    <row r="766" spans="1:6" x14ac:dyDescent="0.25">
      <c r="A766" s="343"/>
      <c r="B766" s="343"/>
      <c r="C766" s="343"/>
      <c r="D766" s="343"/>
      <c r="E766" s="343"/>
      <c r="F766" s="348"/>
    </row>
    <row r="767" spans="1:6" x14ac:dyDescent="0.25">
      <c r="A767" s="343"/>
      <c r="B767" s="343"/>
      <c r="C767" s="343"/>
      <c r="D767" s="343"/>
      <c r="E767" s="343"/>
      <c r="F767" s="348"/>
    </row>
    <row r="768" spans="1:6" x14ac:dyDescent="0.25">
      <c r="A768" s="343"/>
      <c r="B768" s="343"/>
      <c r="C768" s="343" t="s">
        <v>844</v>
      </c>
      <c r="D768" s="343"/>
      <c r="E768" s="343" t="s">
        <v>843</v>
      </c>
      <c r="F768" s="348"/>
    </row>
    <row r="769" spans="1:6" x14ac:dyDescent="0.25">
      <c r="A769" s="343"/>
      <c r="B769" s="343"/>
      <c r="C769" s="343"/>
      <c r="D769" s="343"/>
      <c r="E769" s="343"/>
      <c r="F769" s="348"/>
    </row>
    <row r="770" spans="1:6" x14ac:dyDescent="0.25">
      <c r="A770" s="343"/>
      <c r="B770" s="343"/>
      <c r="C770" s="343"/>
      <c r="D770" s="343"/>
      <c r="E770" s="343"/>
      <c r="F770" s="348"/>
    </row>
    <row r="771" spans="1:6" x14ac:dyDescent="0.25">
      <c r="A771" s="343"/>
      <c r="B771" s="343"/>
      <c r="C771" s="343"/>
      <c r="D771" s="343"/>
      <c r="E771" s="343"/>
      <c r="F771" s="348"/>
    </row>
    <row r="772" spans="1:6" x14ac:dyDescent="0.25">
      <c r="A772" s="343"/>
      <c r="B772" s="343"/>
      <c r="C772" s="343"/>
      <c r="D772" s="343"/>
      <c r="E772" s="343"/>
      <c r="F772" s="348"/>
    </row>
    <row r="773" spans="1:6" x14ac:dyDescent="0.25">
      <c r="A773" s="343"/>
      <c r="B773" s="343"/>
      <c r="C773" s="343"/>
      <c r="D773" s="343"/>
      <c r="E773" s="343"/>
      <c r="F773" s="348"/>
    </row>
    <row r="774" spans="1:6" x14ac:dyDescent="0.25">
      <c r="A774" s="343"/>
      <c r="B774" s="343"/>
      <c r="C774" s="343"/>
      <c r="D774" s="343"/>
      <c r="E774" s="343"/>
      <c r="F774" s="348"/>
    </row>
    <row r="775" spans="1:6" x14ac:dyDescent="0.25">
      <c r="A775" s="343"/>
      <c r="B775" s="343"/>
      <c r="C775" s="343"/>
      <c r="D775" s="343"/>
      <c r="E775" s="343"/>
      <c r="F775" s="348"/>
    </row>
    <row r="776" spans="1:6" x14ac:dyDescent="0.25">
      <c r="A776" s="343"/>
      <c r="B776" s="343"/>
      <c r="C776" s="343"/>
      <c r="D776" s="343"/>
      <c r="E776" s="343"/>
      <c r="F776" s="348"/>
    </row>
    <row r="777" spans="1:6" x14ac:dyDescent="0.25">
      <c r="A777" s="343"/>
      <c r="B777" s="343"/>
      <c r="C777" s="343"/>
      <c r="D777" s="343"/>
      <c r="E777" s="343"/>
      <c r="F777" s="348"/>
    </row>
    <row r="778" spans="1:6" x14ac:dyDescent="0.25">
      <c r="A778" s="343"/>
      <c r="B778" s="343"/>
      <c r="C778" s="343"/>
      <c r="D778" s="343"/>
      <c r="E778" s="343"/>
      <c r="F778" s="348"/>
    </row>
    <row r="779" spans="1:6" x14ac:dyDescent="0.25">
      <c r="A779" s="343"/>
      <c r="B779" s="343"/>
      <c r="C779" s="343"/>
      <c r="D779" s="343"/>
      <c r="E779" s="343"/>
      <c r="F779" s="348"/>
    </row>
    <row r="780" spans="1:6" x14ac:dyDescent="0.25">
      <c r="A780" s="343"/>
      <c r="B780" s="343"/>
      <c r="C780" s="343"/>
      <c r="D780" s="343"/>
      <c r="E780" s="343"/>
      <c r="F780" s="348"/>
    </row>
    <row r="781" spans="1:6" x14ac:dyDescent="0.25">
      <c r="A781" s="343"/>
      <c r="B781" s="343"/>
      <c r="C781" s="343"/>
      <c r="D781" s="343"/>
      <c r="E781" s="343"/>
      <c r="F781" s="348"/>
    </row>
    <row r="782" spans="1:6" x14ac:dyDescent="0.25">
      <c r="A782" s="343"/>
      <c r="B782" s="343"/>
      <c r="C782" s="343"/>
      <c r="D782" s="343"/>
      <c r="E782" s="343"/>
      <c r="F782" s="348"/>
    </row>
    <row r="783" spans="1:6" x14ac:dyDescent="0.25">
      <c r="A783" s="343"/>
      <c r="B783" s="343"/>
      <c r="C783" s="343"/>
      <c r="D783" s="343"/>
      <c r="E783" s="343"/>
      <c r="F783" s="348"/>
    </row>
    <row r="784" spans="1:6" x14ac:dyDescent="0.25">
      <c r="A784" s="343"/>
      <c r="B784" s="343"/>
      <c r="C784" s="343"/>
      <c r="D784" s="343"/>
      <c r="E784" s="343"/>
      <c r="F784" s="348"/>
    </row>
    <row r="785" spans="1:6" x14ac:dyDescent="0.25">
      <c r="A785" s="343"/>
      <c r="B785" s="343"/>
      <c r="C785" s="343"/>
      <c r="D785" s="343"/>
      <c r="E785" s="343"/>
      <c r="F785" s="348"/>
    </row>
    <row r="786" spans="1:6" x14ac:dyDescent="0.25">
      <c r="A786" s="343"/>
      <c r="B786" s="343"/>
      <c r="C786" s="343"/>
      <c r="D786" s="343"/>
      <c r="E786" s="343"/>
      <c r="F786" s="348"/>
    </row>
    <row r="787" spans="1:6" x14ac:dyDescent="0.25">
      <c r="A787" s="343"/>
      <c r="B787" s="343"/>
      <c r="C787" s="343"/>
      <c r="D787" s="343"/>
      <c r="E787" s="343"/>
      <c r="F787" s="348"/>
    </row>
    <row r="788" spans="1:6" x14ac:dyDescent="0.25">
      <c r="A788" s="343"/>
      <c r="B788" s="343"/>
      <c r="C788" s="343"/>
      <c r="D788" s="343"/>
      <c r="E788" s="343"/>
      <c r="F788" s="348"/>
    </row>
    <row r="789" spans="1:6" x14ac:dyDescent="0.25">
      <c r="A789" s="343"/>
      <c r="B789" s="343"/>
      <c r="C789" s="343"/>
      <c r="D789" s="343"/>
      <c r="E789" s="343"/>
      <c r="F789" s="348"/>
    </row>
    <row r="790" spans="1:6" x14ac:dyDescent="0.25">
      <c r="A790" s="343"/>
      <c r="B790" s="343"/>
      <c r="C790" s="343"/>
      <c r="D790" s="343"/>
      <c r="E790" s="343"/>
      <c r="F790" s="348"/>
    </row>
    <row r="791" spans="1:6" x14ac:dyDescent="0.25">
      <c r="A791" s="343"/>
      <c r="B791" s="343"/>
      <c r="C791" s="343"/>
      <c r="D791" s="343"/>
      <c r="E791" s="343"/>
      <c r="F791" s="348"/>
    </row>
    <row r="792" spans="1:6" x14ac:dyDescent="0.25">
      <c r="A792" s="343"/>
      <c r="B792" s="343"/>
      <c r="C792" s="343"/>
      <c r="D792" s="343"/>
      <c r="E792" s="343"/>
      <c r="F792" s="348"/>
    </row>
    <row r="793" spans="1:6" x14ac:dyDescent="0.25">
      <c r="A793" s="343"/>
      <c r="B793" s="343"/>
      <c r="C793" s="343"/>
      <c r="D793" s="343"/>
      <c r="E793" s="343"/>
      <c r="F793" s="348"/>
    </row>
    <row r="794" spans="1:6" x14ac:dyDescent="0.25">
      <c r="A794" s="343"/>
      <c r="B794" s="343"/>
      <c r="C794" s="343"/>
      <c r="D794" s="343"/>
      <c r="E794" s="343"/>
      <c r="F794" s="348"/>
    </row>
    <row r="795" spans="1:6" x14ac:dyDescent="0.25">
      <c r="A795" s="343"/>
      <c r="B795" s="343"/>
      <c r="C795" s="343"/>
      <c r="D795" s="343"/>
      <c r="E795" s="343"/>
      <c r="F795" s="348"/>
    </row>
    <row r="796" spans="1:6" x14ac:dyDescent="0.25">
      <c r="A796" s="343"/>
      <c r="B796" s="343"/>
      <c r="C796" s="343"/>
      <c r="D796" s="343"/>
      <c r="E796" s="343"/>
      <c r="F796" s="348"/>
    </row>
    <row r="797" spans="1:6" x14ac:dyDescent="0.25">
      <c r="A797" s="343"/>
      <c r="B797" s="343"/>
      <c r="C797" s="343"/>
      <c r="D797" s="343"/>
      <c r="E797" s="343"/>
      <c r="F797" s="348"/>
    </row>
    <row r="798" spans="1:6" x14ac:dyDescent="0.25">
      <c r="A798" s="343"/>
      <c r="B798" s="343"/>
      <c r="C798" s="343"/>
      <c r="D798" s="343"/>
      <c r="E798" s="343"/>
      <c r="F798" s="348"/>
    </row>
    <row r="799" spans="1:6" x14ac:dyDescent="0.25">
      <c r="A799" s="343"/>
      <c r="B799" s="343"/>
      <c r="C799" s="343"/>
      <c r="D799" s="343"/>
      <c r="E799" s="343"/>
      <c r="F799" s="348"/>
    </row>
  </sheetData>
  <sheetProtection algorithmName="SHA-512" hashValue="fYF04b+cKX+FmFzxlqZtMIBun7FBnc8oi3Z1817zeRmaoYzJzcUvvxhVsg6JY/7kUM/5CGsPnpCXQcTQjUuGaQ==" saltValue="7MPRfTo+04xX7ToYVhXXWg==" spinCount="100000" sheet="1" selectLockedCells="1"/>
  <sortState xmlns:xlrd2="http://schemas.microsoft.com/office/spreadsheetml/2017/richdata2" ref="B736:L752">
    <sortCondition ref="B736:B752"/>
  </sortState>
  <mergeCells count="415">
    <mergeCell ref="K644:N644"/>
    <mergeCell ref="BE601:BE602"/>
    <mergeCell ref="BF601:BJ601"/>
    <mergeCell ref="BL601:BL602"/>
    <mergeCell ref="BM601:BQ601"/>
    <mergeCell ref="BS601:BS602"/>
    <mergeCell ref="CN601:CN602"/>
    <mergeCell ref="CO601:CS601"/>
    <mergeCell ref="BT601:BX601"/>
    <mergeCell ref="BZ601:BZ602"/>
    <mergeCell ref="CA601:CE601"/>
    <mergeCell ref="CG601:CG602"/>
    <mergeCell ref="CH601:CL601"/>
    <mergeCell ref="CN600:CS600"/>
    <mergeCell ref="C601:C602"/>
    <mergeCell ref="D601:M601"/>
    <mergeCell ref="O601:O602"/>
    <mergeCell ref="P601:T601"/>
    <mergeCell ref="V601:V602"/>
    <mergeCell ref="W601:AA601"/>
    <mergeCell ref="AC601:AC602"/>
    <mergeCell ref="AD601:AH601"/>
    <mergeCell ref="AJ601:AJ602"/>
    <mergeCell ref="AK601:AO601"/>
    <mergeCell ref="AQ601:AQ602"/>
    <mergeCell ref="AR601:AV601"/>
    <mergeCell ref="AX601:AX602"/>
    <mergeCell ref="AY601:BC601"/>
    <mergeCell ref="AX600:BC600"/>
    <mergeCell ref="O600:T600"/>
    <mergeCell ref="V600:AA600"/>
    <mergeCell ref="AC600:AH600"/>
    <mergeCell ref="AJ600:AO600"/>
    <mergeCell ref="AQ600:AV600"/>
    <mergeCell ref="C600:M600"/>
    <mergeCell ref="CA561:CE561"/>
    <mergeCell ref="CG561:CG562"/>
    <mergeCell ref="BL600:BQ600"/>
    <mergeCell ref="BS600:BX600"/>
    <mergeCell ref="BZ600:CE600"/>
    <mergeCell ref="AY561:BC561"/>
    <mergeCell ref="BE561:BE562"/>
    <mergeCell ref="BF561:BJ561"/>
    <mergeCell ref="CG600:CL600"/>
    <mergeCell ref="BE600:BJ600"/>
    <mergeCell ref="O560:T560"/>
    <mergeCell ref="V560:AA560"/>
    <mergeCell ref="AC560:AH560"/>
    <mergeCell ref="CN561:CN562"/>
    <mergeCell ref="AX560:BC560"/>
    <mergeCell ref="CO561:CS561"/>
    <mergeCell ref="BL561:BL562"/>
    <mergeCell ref="BM561:BQ561"/>
    <mergeCell ref="BS561:BS562"/>
    <mergeCell ref="BT561:BX561"/>
    <mergeCell ref="BZ561:BZ562"/>
    <mergeCell ref="CH561:CL561"/>
    <mergeCell ref="AJ560:AO560"/>
    <mergeCell ref="AR561:AV561"/>
    <mergeCell ref="AX561:AX562"/>
    <mergeCell ref="O561:O562"/>
    <mergeCell ref="P561:T561"/>
    <mergeCell ref="V561:V562"/>
    <mergeCell ref="W561:AA561"/>
    <mergeCell ref="AC561:AC562"/>
    <mergeCell ref="AD561:AH561"/>
    <mergeCell ref="AJ561:AJ562"/>
    <mergeCell ref="AK561:AO561"/>
    <mergeCell ref="AQ561:AQ562"/>
    <mergeCell ref="AQ560:AV560"/>
    <mergeCell ref="CA520:CE520"/>
    <mergeCell ref="CG520:CG521"/>
    <mergeCell ref="CH520:CL520"/>
    <mergeCell ref="CG560:CL560"/>
    <mergeCell ref="BE560:BJ560"/>
    <mergeCell ref="BL560:BQ560"/>
    <mergeCell ref="BS560:BX560"/>
    <mergeCell ref="CN519:CS519"/>
    <mergeCell ref="AR520:AV520"/>
    <mergeCell ref="AX520:AX521"/>
    <mergeCell ref="AY520:BC520"/>
    <mergeCell ref="BE520:BE521"/>
    <mergeCell ref="BF520:BJ520"/>
    <mergeCell ref="AX519:BC519"/>
    <mergeCell ref="CN520:CN521"/>
    <mergeCell ref="CO520:CS520"/>
    <mergeCell ref="BL520:BL521"/>
    <mergeCell ref="BM520:BQ520"/>
    <mergeCell ref="BS520:BS521"/>
    <mergeCell ref="BT520:BX520"/>
    <mergeCell ref="BZ520:BZ521"/>
    <mergeCell ref="CN560:CS560"/>
    <mergeCell ref="BZ560:CE560"/>
    <mergeCell ref="O520:O521"/>
    <mergeCell ref="P520:T520"/>
    <mergeCell ref="V520:V521"/>
    <mergeCell ref="W520:AA520"/>
    <mergeCell ref="AC520:AC521"/>
    <mergeCell ref="AD520:AH520"/>
    <mergeCell ref="AJ520:AJ521"/>
    <mergeCell ref="AK520:AO520"/>
    <mergeCell ref="AQ520:AQ521"/>
    <mergeCell ref="O519:T519"/>
    <mergeCell ref="V519:AA519"/>
    <mergeCell ref="AC519:AH519"/>
    <mergeCell ref="AR479:AV479"/>
    <mergeCell ref="AX479:AX480"/>
    <mergeCell ref="AJ519:AO519"/>
    <mergeCell ref="AQ519:AV519"/>
    <mergeCell ref="CA479:CE479"/>
    <mergeCell ref="CG479:CG480"/>
    <mergeCell ref="BL519:BQ519"/>
    <mergeCell ref="BS519:BX519"/>
    <mergeCell ref="BZ519:CE519"/>
    <mergeCell ref="AY479:BC479"/>
    <mergeCell ref="BE479:BE480"/>
    <mergeCell ref="BF479:BJ479"/>
    <mergeCell ref="CG519:CL519"/>
    <mergeCell ref="BE519:BJ519"/>
    <mergeCell ref="O478:T478"/>
    <mergeCell ref="V478:AA478"/>
    <mergeCell ref="AC478:AH478"/>
    <mergeCell ref="CN479:CN480"/>
    <mergeCell ref="AX478:BC478"/>
    <mergeCell ref="CO479:CS479"/>
    <mergeCell ref="BL479:BL480"/>
    <mergeCell ref="BM479:BQ479"/>
    <mergeCell ref="BS479:BS480"/>
    <mergeCell ref="BT479:BX479"/>
    <mergeCell ref="BZ479:BZ480"/>
    <mergeCell ref="CH479:CL479"/>
    <mergeCell ref="AJ478:AO478"/>
    <mergeCell ref="O479:O480"/>
    <mergeCell ref="P479:T479"/>
    <mergeCell ref="V479:V480"/>
    <mergeCell ref="W479:AA479"/>
    <mergeCell ref="AC479:AC480"/>
    <mergeCell ref="AD479:AH479"/>
    <mergeCell ref="AJ479:AJ480"/>
    <mergeCell ref="AK479:AO479"/>
    <mergeCell ref="AQ479:AQ480"/>
    <mergeCell ref="AQ478:AV478"/>
    <mergeCell ref="CA438:CE438"/>
    <mergeCell ref="CG438:CG439"/>
    <mergeCell ref="CH438:CL438"/>
    <mergeCell ref="CG478:CL478"/>
    <mergeCell ref="BE478:BJ478"/>
    <mergeCell ref="BL478:BQ478"/>
    <mergeCell ref="BS478:BX478"/>
    <mergeCell ref="CN437:CS437"/>
    <mergeCell ref="AR438:AV438"/>
    <mergeCell ref="AX438:AX439"/>
    <mergeCell ref="AY438:BC438"/>
    <mergeCell ref="BE438:BE439"/>
    <mergeCell ref="BF438:BJ438"/>
    <mergeCell ref="AX437:BC437"/>
    <mergeCell ref="CN438:CN439"/>
    <mergeCell ref="CO438:CS438"/>
    <mergeCell ref="BL438:BL439"/>
    <mergeCell ref="BM438:BQ438"/>
    <mergeCell ref="BS438:BS439"/>
    <mergeCell ref="BT438:BX438"/>
    <mergeCell ref="BZ438:BZ439"/>
    <mergeCell ref="CN478:CS478"/>
    <mergeCell ref="BZ478:CE478"/>
    <mergeCell ref="O438:O439"/>
    <mergeCell ref="P438:T438"/>
    <mergeCell ref="V438:V439"/>
    <mergeCell ref="W438:AA438"/>
    <mergeCell ref="AC438:AC439"/>
    <mergeCell ref="AD438:AH438"/>
    <mergeCell ref="AJ438:AJ439"/>
    <mergeCell ref="AK438:AO438"/>
    <mergeCell ref="AQ438:AQ439"/>
    <mergeCell ref="O437:T437"/>
    <mergeCell ref="V437:AA437"/>
    <mergeCell ref="AC437:AH437"/>
    <mergeCell ref="AR397:AV397"/>
    <mergeCell ref="AX397:AX398"/>
    <mergeCell ref="AJ437:AO437"/>
    <mergeCell ref="AQ437:AV437"/>
    <mergeCell ref="CA397:CE397"/>
    <mergeCell ref="CG397:CG398"/>
    <mergeCell ref="BL437:BQ437"/>
    <mergeCell ref="BS437:BX437"/>
    <mergeCell ref="BZ437:CE437"/>
    <mergeCell ref="AY397:BC397"/>
    <mergeCell ref="BE397:BE398"/>
    <mergeCell ref="BF397:BJ397"/>
    <mergeCell ref="CG437:CL437"/>
    <mergeCell ref="BE437:BJ437"/>
    <mergeCell ref="CN396:CS396"/>
    <mergeCell ref="BZ396:CE396"/>
    <mergeCell ref="O397:O398"/>
    <mergeCell ref="P397:T397"/>
    <mergeCell ref="V397:V398"/>
    <mergeCell ref="W397:AA397"/>
    <mergeCell ref="AC397:AC398"/>
    <mergeCell ref="AD397:AH397"/>
    <mergeCell ref="AJ397:AJ398"/>
    <mergeCell ref="AK397:AO397"/>
    <mergeCell ref="AQ397:AQ398"/>
    <mergeCell ref="O396:T396"/>
    <mergeCell ref="V396:AA396"/>
    <mergeCell ref="AC396:AH396"/>
    <mergeCell ref="CN397:CN398"/>
    <mergeCell ref="AX396:BC396"/>
    <mergeCell ref="CO397:CS397"/>
    <mergeCell ref="BL397:BL398"/>
    <mergeCell ref="BM397:BQ397"/>
    <mergeCell ref="BS397:BS398"/>
    <mergeCell ref="BT397:BX397"/>
    <mergeCell ref="BZ397:BZ398"/>
    <mergeCell ref="CH397:CL397"/>
    <mergeCell ref="AJ396:AO396"/>
    <mergeCell ref="AQ396:AV396"/>
    <mergeCell ref="CA356:CE356"/>
    <mergeCell ref="CG356:CG357"/>
    <mergeCell ref="CH356:CL356"/>
    <mergeCell ref="CG396:CL396"/>
    <mergeCell ref="BE396:BJ396"/>
    <mergeCell ref="BL396:BQ396"/>
    <mergeCell ref="BS396:BX396"/>
    <mergeCell ref="AX356:AX357"/>
    <mergeCell ref="AY356:BC356"/>
    <mergeCell ref="BE356:BE357"/>
    <mergeCell ref="BF356:BJ356"/>
    <mergeCell ref="AC355:AH355"/>
    <mergeCell ref="CN356:CN357"/>
    <mergeCell ref="BL356:BL357"/>
    <mergeCell ref="BM356:BQ356"/>
    <mergeCell ref="BS356:BS357"/>
    <mergeCell ref="BT356:BX356"/>
    <mergeCell ref="BZ356:BZ357"/>
    <mergeCell ref="CG355:CL355"/>
    <mergeCell ref="CN355:CS355"/>
    <mergeCell ref="AQ315:AQ316"/>
    <mergeCell ref="CG314:CL314"/>
    <mergeCell ref="CN314:CS314"/>
    <mergeCell ref="BZ314:CE314"/>
    <mergeCell ref="AX355:BC355"/>
    <mergeCell ref="BE355:BJ355"/>
    <mergeCell ref="AD356:AH356"/>
    <mergeCell ref="AJ356:AJ357"/>
    <mergeCell ref="AK356:AO356"/>
    <mergeCell ref="AQ356:AQ357"/>
    <mergeCell ref="AR356:AV356"/>
    <mergeCell ref="CO356:CS356"/>
    <mergeCell ref="AR315:AV315"/>
    <mergeCell ref="AX315:AX316"/>
    <mergeCell ref="AQ355:AV355"/>
    <mergeCell ref="CA315:CE315"/>
    <mergeCell ref="CG315:CG316"/>
    <mergeCell ref="CH315:CL315"/>
    <mergeCell ref="CN315:CN316"/>
    <mergeCell ref="BL355:BQ355"/>
    <mergeCell ref="BS355:BX355"/>
    <mergeCell ref="BZ355:CE355"/>
    <mergeCell ref="AY315:BC315"/>
    <mergeCell ref="BE315:BE316"/>
    <mergeCell ref="BE314:BJ314"/>
    <mergeCell ref="BL314:BQ314"/>
    <mergeCell ref="BS314:BX314"/>
    <mergeCell ref="CO315:CS315"/>
    <mergeCell ref="BL315:BL316"/>
    <mergeCell ref="BM315:BQ315"/>
    <mergeCell ref="BS315:BS316"/>
    <mergeCell ref="BT315:BX315"/>
    <mergeCell ref="BZ315:BZ316"/>
    <mergeCell ref="BF315:BJ315"/>
    <mergeCell ref="CA274:CE274"/>
    <mergeCell ref="CG274:CG275"/>
    <mergeCell ref="CH274:CL274"/>
    <mergeCell ref="CN274:CN275"/>
    <mergeCell ref="CO274:CS274"/>
    <mergeCell ref="AX273:BC273"/>
    <mergeCell ref="BE273:BJ273"/>
    <mergeCell ref="BL273:BQ273"/>
    <mergeCell ref="BS273:BX273"/>
    <mergeCell ref="BZ273:CE273"/>
    <mergeCell ref="CG273:CL273"/>
    <mergeCell ref="CN273:CS273"/>
    <mergeCell ref="AX274:AX275"/>
    <mergeCell ref="AY274:BC274"/>
    <mergeCell ref="BE274:BE275"/>
    <mergeCell ref="BF274:BJ274"/>
    <mergeCell ref="BL274:BL275"/>
    <mergeCell ref="BM274:BQ274"/>
    <mergeCell ref="BS274:BS275"/>
    <mergeCell ref="BT274:BX274"/>
    <mergeCell ref="BZ274:BZ275"/>
    <mergeCell ref="BE232:BJ232"/>
    <mergeCell ref="BL232:BQ232"/>
    <mergeCell ref="BS232:BX232"/>
    <mergeCell ref="BZ232:CE232"/>
    <mergeCell ref="CG232:CL232"/>
    <mergeCell ref="CN232:CS232"/>
    <mergeCell ref="O233:O234"/>
    <mergeCell ref="P233:T233"/>
    <mergeCell ref="V233:V234"/>
    <mergeCell ref="W233:AA233"/>
    <mergeCell ref="AY233:BC233"/>
    <mergeCell ref="BE233:BE234"/>
    <mergeCell ref="CH233:CL233"/>
    <mergeCell ref="CN233:CN234"/>
    <mergeCell ref="CO233:CS233"/>
    <mergeCell ref="BL233:BL234"/>
    <mergeCell ref="BM233:BQ233"/>
    <mergeCell ref="BS233:BS234"/>
    <mergeCell ref="BT233:BX233"/>
    <mergeCell ref="BZ233:BZ234"/>
    <mergeCell ref="CA233:CE233"/>
    <mergeCell ref="CG233:CG234"/>
    <mergeCell ref="BF233:BJ233"/>
    <mergeCell ref="AQ233:AQ234"/>
    <mergeCell ref="C477:M477"/>
    <mergeCell ref="C478:C479"/>
    <mergeCell ref="D478:M478"/>
    <mergeCell ref="C518:M518"/>
    <mergeCell ref="C519:C520"/>
    <mergeCell ref="D519:M519"/>
    <mergeCell ref="O273:T273"/>
    <mergeCell ref="V273:AA273"/>
    <mergeCell ref="C559:M559"/>
    <mergeCell ref="C395:M395"/>
    <mergeCell ref="C396:C397"/>
    <mergeCell ref="D396:M396"/>
    <mergeCell ref="C436:M436"/>
    <mergeCell ref="C437:C438"/>
    <mergeCell ref="D437:M437"/>
    <mergeCell ref="C313:M313"/>
    <mergeCell ref="O274:O275"/>
    <mergeCell ref="P274:T274"/>
    <mergeCell ref="V274:V275"/>
    <mergeCell ref="W274:AA274"/>
    <mergeCell ref="O315:O316"/>
    <mergeCell ref="P315:T315"/>
    <mergeCell ref="V315:V316"/>
    <mergeCell ref="D314:M314"/>
    <mergeCell ref="AR233:AV233"/>
    <mergeCell ref="AX233:AX234"/>
    <mergeCell ref="AJ232:AO232"/>
    <mergeCell ref="AQ232:AV232"/>
    <mergeCell ref="AQ273:AV273"/>
    <mergeCell ref="AJ314:AO314"/>
    <mergeCell ref="C560:C561"/>
    <mergeCell ref="D560:M560"/>
    <mergeCell ref="AC273:AH273"/>
    <mergeCell ref="AQ314:AV314"/>
    <mergeCell ref="AJ355:AO355"/>
    <mergeCell ref="AX232:BC232"/>
    <mergeCell ref="AX314:BC314"/>
    <mergeCell ref="AC274:AC275"/>
    <mergeCell ref="AD274:AH274"/>
    <mergeCell ref="AJ274:AJ275"/>
    <mergeCell ref="AK274:AO274"/>
    <mergeCell ref="AQ274:AQ275"/>
    <mergeCell ref="AR274:AV274"/>
    <mergeCell ref="W315:AA315"/>
    <mergeCell ref="AC315:AC316"/>
    <mergeCell ref="AD315:AH315"/>
    <mergeCell ref="AJ315:AJ316"/>
    <mergeCell ref="C314:C315"/>
    <mergeCell ref="C354:M354"/>
    <mergeCell ref="C355:C356"/>
    <mergeCell ref="D355:M355"/>
    <mergeCell ref="AJ273:AO273"/>
    <mergeCell ref="C232:C233"/>
    <mergeCell ref="C273:C274"/>
    <mergeCell ref="O232:T232"/>
    <mergeCell ref="V232:AA232"/>
    <mergeCell ref="AC232:AH232"/>
    <mergeCell ref="O314:T314"/>
    <mergeCell ref="V314:AA314"/>
    <mergeCell ref="AC314:AH314"/>
    <mergeCell ref="AC233:AC234"/>
    <mergeCell ref="AD233:AH233"/>
    <mergeCell ref="AJ233:AJ234"/>
    <mergeCell ref="AK233:AO233"/>
    <mergeCell ref="AK315:AO315"/>
    <mergeCell ref="O356:O357"/>
    <mergeCell ref="P356:T356"/>
    <mergeCell ref="V356:V357"/>
    <mergeCell ref="W356:AA356"/>
    <mergeCell ref="AC356:AC357"/>
    <mergeCell ref="O355:T355"/>
    <mergeCell ref="V355:AA355"/>
    <mergeCell ref="C231:L231"/>
    <mergeCell ref="D232:L232"/>
    <mergeCell ref="C272:M272"/>
    <mergeCell ref="D273:M273"/>
    <mergeCell ref="J109:K109"/>
    <mergeCell ref="Y110:AA111"/>
    <mergeCell ref="Y113:AA114"/>
    <mergeCell ref="N147:X147"/>
    <mergeCell ref="J129:M129"/>
    <mergeCell ref="J124:M124"/>
    <mergeCell ref="J125:M125"/>
    <mergeCell ref="J126:M126"/>
    <mergeCell ref="J127:M127"/>
    <mergeCell ref="J128:M128"/>
    <mergeCell ref="G108:G114"/>
    <mergeCell ref="F119:F128"/>
    <mergeCell ref="F17:F24"/>
    <mergeCell ref="G6:G12"/>
    <mergeCell ref="J7:K7"/>
    <mergeCell ref="J26:M26"/>
    <mergeCell ref="J27:M27"/>
    <mergeCell ref="N45:X45"/>
    <mergeCell ref="Y8:AA9"/>
    <mergeCell ref="Y11:AA12"/>
    <mergeCell ref="J22:M22"/>
    <mergeCell ref="J23:M23"/>
    <mergeCell ref="J24:M24"/>
    <mergeCell ref="J25:M25"/>
  </mergeCells>
  <dataValidations disablePrompts="1" count="1">
    <dataValidation type="list" allowBlank="1" showInputMessage="1" showErrorMessage="1" sqref="C37:D37 C139" xr:uid="{7C58FCA3-84A9-4516-A3D8-5F45C028E521}">
      <formula1>Locations</formula1>
    </dataValidation>
  </dataValidations>
  <hyperlinks>
    <hyperlink ref="T84" r:id="rId1" xr:uid="{7A7553FB-2C44-4068-9D23-864D9DFD81EE}"/>
    <hyperlink ref="T186" r:id="rId2" xr:uid="{1D6D4E24-A813-43C8-BB03-D4BF6498B7C8}"/>
  </hyperlinks>
  <pageMargins left="0.7" right="0.7" top="0.75" bottom="0.75" header="0.3" footer="0.3"/>
  <pageSetup paperSize="9" scale="18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Calculator</vt:lpstr>
      <vt:lpstr>Loads</vt:lpstr>
      <vt:lpstr>Version</vt:lpstr>
      <vt:lpstr>-calcs-</vt:lpstr>
      <vt:lpstr>Battery_Banks</vt:lpstr>
      <vt:lpstr>Battery_Modules</vt:lpstr>
      <vt:lpstr>Inverter_Chargers</vt:lpstr>
      <vt:lpstr>Locations</vt:lpstr>
      <vt:lpstr>Calculator!Print_Area</vt:lpstr>
      <vt:lpstr>Solar_Arrays</vt:lpstr>
      <vt:lpstr>Solar_Controllers</vt:lpstr>
      <vt:lpstr>Solar_Panels</vt:lpstr>
      <vt:lpstr>UserProfiles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ecoCool Solar-Battery Calculator</dc:title>
  <dc:subject>Energy Management on/off-grid</dc:subject>
  <dc:creator>C Myatt</dc:creator>
  <dc:description>Version 4.0</dc:description>
  <cp:lastModifiedBy/>
  <dcterms:created xsi:type="dcterms:W3CDTF">2006-09-16T00:00:00Z</dcterms:created>
  <dcterms:modified xsi:type="dcterms:W3CDTF">2023-07-02T08:45:38Z</dcterms:modified>
</cp:coreProperties>
</file>